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5FY\"/>
    </mc:Choice>
  </mc:AlternateContent>
  <xr:revisionPtr revIDLastSave="0" documentId="8_{2854A4FF-201E-4A2D-9070-8F921095963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Weekly Summary" sheetId="3" r:id="rId1"/>
    <sheet name="Table Games" sheetId="2" r:id="rId2"/>
    <sheet name="Video" sheetId="1" r:id="rId3"/>
  </sheets>
  <definedNames>
    <definedName name="_xlnm.Print_Area" localSheetId="1">'Table Games'!$A$1:$L$64</definedName>
    <definedName name="_xlnm.Print_Area" localSheetId="2">Video!$A$1:$K$63</definedName>
    <definedName name="_xlnm.Print_Area" localSheetId="0">'Weekly Summary'!$A$1:$N$66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0" i="2" l="1"/>
  <c r="L60" i="2" l="1"/>
  <c r="M61" i="3" l="1"/>
  <c r="J61" i="3"/>
  <c r="H61" i="3"/>
  <c r="G61" i="3"/>
  <c r="F61" i="3"/>
  <c r="E61" i="3"/>
  <c r="D61" i="3"/>
  <c r="C61" i="3"/>
  <c r="B61" i="3"/>
  <c r="I60" i="2"/>
  <c r="N61" i="3" s="1"/>
  <c r="I61" i="3" l="1"/>
  <c r="K60" i="2"/>
  <c r="L61" i="3" s="1"/>
  <c r="K61" i="3"/>
  <c r="E58" i="1" l="1"/>
  <c r="J58" i="1" s="1"/>
  <c r="H60" i="3"/>
  <c r="G60" i="3"/>
  <c r="F60" i="3"/>
  <c r="E60" i="3"/>
  <c r="D60" i="3"/>
  <c r="C60" i="3"/>
  <c r="B60" i="3"/>
  <c r="E57" i="1"/>
  <c r="J57" i="1" s="1"/>
  <c r="I59" i="2"/>
  <c r="I60" i="3" s="1"/>
  <c r="H59" i="3"/>
  <c r="G59" i="3"/>
  <c r="F59" i="3"/>
  <c r="E59" i="3"/>
  <c r="D59" i="3"/>
  <c r="C59" i="3"/>
  <c r="B59" i="3"/>
  <c r="E56" i="1"/>
  <c r="G56" i="1" s="1"/>
  <c r="I58" i="2"/>
  <c r="L58" i="2" s="1"/>
  <c r="H58" i="3"/>
  <c r="G58" i="3"/>
  <c r="F58" i="3"/>
  <c r="E58" i="3"/>
  <c r="D58" i="3"/>
  <c r="C58" i="3"/>
  <c r="B58" i="3"/>
  <c r="E55" i="1"/>
  <c r="H55" i="1" s="1"/>
  <c r="M58" i="3" s="1"/>
  <c r="I57" i="2"/>
  <c r="L57" i="2" s="1"/>
  <c r="H57" i="3"/>
  <c r="G57" i="3"/>
  <c r="F57" i="3"/>
  <c r="E57" i="3"/>
  <c r="D57" i="3"/>
  <c r="C57" i="3"/>
  <c r="B57" i="3"/>
  <c r="E54" i="1"/>
  <c r="J54" i="1" s="1"/>
  <c r="I56" i="2"/>
  <c r="L56" i="2" s="1"/>
  <c r="H56" i="3"/>
  <c r="G56" i="3"/>
  <c r="F56" i="3"/>
  <c r="E56" i="3"/>
  <c r="D56" i="3"/>
  <c r="C56" i="3"/>
  <c r="B56" i="3"/>
  <c r="E53" i="1"/>
  <c r="J53" i="1" s="1"/>
  <c r="I55" i="2"/>
  <c r="L55" i="2" s="1"/>
  <c r="H55" i="3"/>
  <c r="G55" i="3"/>
  <c r="F55" i="3"/>
  <c r="E55" i="3"/>
  <c r="D55" i="3"/>
  <c r="C55" i="3"/>
  <c r="B55" i="3"/>
  <c r="E52" i="1"/>
  <c r="J52" i="1" s="1"/>
  <c r="I54" i="2"/>
  <c r="I55" i="3" s="1"/>
  <c r="H54" i="3"/>
  <c r="G54" i="3"/>
  <c r="F54" i="3"/>
  <c r="E54" i="3"/>
  <c r="D54" i="3"/>
  <c r="C54" i="3"/>
  <c r="B54" i="3"/>
  <c r="E51" i="1"/>
  <c r="J51" i="1" s="1"/>
  <c r="I53" i="2"/>
  <c r="L53" i="2" s="1"/>
  <c r="H53" i="3"/>
  <c r="G53" i="3"/>
  <c r="F53" i="3"/>
  <c r="E53" i="3"/>
  <c r="D53" i="3"/>
  <c r="C53" i="3"/>
  <c r="B53" i="3"/>
  <c r="I52" i="2"/>
  <c r="L52" i="2" s="1"/>
  <c r="E50" i="1"/>
  <c r="J50" i="1" s="1"/>
  <c r="H52" i="3"/>
  <c r="G52" i="3"/>
  <c r="F52" i="3"/>
  <c r="E52" i="3"/>
  <c r="D52" i="3"/>
  <c r="C52" i="3"/>
  <c r="B52" i="3"/>
  <c r="E49" i="1"/>
  <c r="F49" i="1" s="1"/>
  <c r="I51" i="2"/>
  <c r="J51" i="2" s="1"/>
  <c r="F58" i="1" l="1"/>
  <c r="G58" i="1"/>
  <c r="J59" i="3"/>
  <c r="H58" i="1"/>
  <c r="I58" i="1"/>
  <c r="I56" i="1"/>
  <c r="I54" i="1"/>
  <c r="F57" i="1"/>
  <c r="G57" i="1"/>
  <c r="I55" i="1"/>
  <c r="N58" i="3" s="1"/>
  <c r="L59" i="2"/>
  <c r="I57" i="1"/>
  <c r="J60" i="3"/>
  <c r="F54" i="1"/>
  <c r="F56" i="1"/>
  <c r="F50" i="1"/>
  <c r="H57" i="1"/>
  <c r="M60" i="3" s="1"/>
  <c r="G50" i="1"/>
  <c r="J59" i="2"/>
  <c r="N59" i="3"/>
  <c r="K59" i="2"/>
  <c r="I59" i="3"/>
  <c r="J56" i="1"/>
  <c r="J58" i="3"/>
  <c r="H52" i="1"/>
  <c r="M55" i="3" s="1"/>
  <c r="J54" i="3"/>
  <c r="I51" i="1"/>
  <c r="N54" i="3" s="1"/>
  <c r="F55" i="1"/>
  <c r="G55" i="1"/>
  <c r="G54" i="1"/>
  <c r="H56" i="1"/>
  <c r="M59" i="3" s="1"/>
  <c r="J58" i="2"/>
  <c r="K58" i="2"/>
  <c r="L59" i="3" s="1"/>
  <c r="I58" i="3"/>
  <c r="J55" i="1"/>
  <c r="F53" i="1"/>
  <c r="G53" i="1"/>
  <c r="J55" i="3"/>
  <c r="F52" i="1"/>
  <c r="F51" i="1"/>
  <c r="J57" i="2"/>
  <c r="K57" i="2"/>
  <c r="I57" i="3"/>
  <c r="J57" i="3"/>
  <c r="H54" i="1"/>
  <c r="M57" i="3" s="1"/>
  <c r="H50" i="1"/>
  <c r="M53" i="3" s="1"/>
  <c r="H53" i="1"/>
  <c r="M56" i="3" s="1"/>
  <c r="H49" i="1"/>
  <c r="M52" i="3" s="1"/>
  <c r="I50" i="1"/>
  <c r="N53" i="3" s="1"/>
  <c r="I49" i="1"/>
  <c r="N57" i="3"/>
  <c r="J56" i="2"/>
  <c r="K56" i="2"/>
  <c r="I54" i="3"/>
  <c r="I56" i="3"/>
  <c r="J56" i="3"/>
  <c r="I52" i="1"/>
  <c r="I53" i="1"/>
  <c r="N56" i="3" s="1"/>
  <c r="J55" i="2"/>
  <c r="L54" i="2"/>
  <c r="K55" i="2"/>
  <c r="G52" i="1"/>
  <c r="J54" i="2"/>
  <c r="K54" i="2"/>
  <c r="G51" i="1"/>
  <c r="H51" i="1"/>
  <c r="M54" i="3" s="1"/>
  <c r="J53" i="2"/>
  <c r="K54" i="3" s="1"/>
  <c r="K53" i="2"/>
  <c r="I53" i="3"/>
  <c r="J53" i="3"/>
  <c r="K51" i="2"/>
  <c r="J52" i="2"/>
  <c r="K52" i="2"/>
  <c r="K52" i="3"/>
  <c r="G49" i="1"/>
  <c r="J52" i="3"/>
  <c r="L51" i="2"/>
  <c r="I52" i="3"/>
  <c r="J49" i="1"/>
  <c r="H51" i="3"/>
  <c r="G51" i="3"/>
  <c r="F51" i="3"/>
  <c r="E51" i="3"/>
  <c r="D51" i="3"/>
  <c r="C51" i="3"/>
  <c r="B51" i="3"/>
  <c r="E48" i="1"/>
  <c r="I50" i="2"/>
  <c r="L50" i="2" s="1"/>
  <c r="H50" i="3"/>
  <c r="G50" i="3"/>
  <c r="F50" i="3"/>
  <c r="E50" i="3"/>
  <c r="D50" i="3"/>
  <c r="C50" i="3"/>
  <c r="B50" i="3"/>
  <c r="E47" i="1"/>
  <c r="J47" i="1" s="1"/>
  <c r="I49" i="2"/>
  <c r="K49" i="2" s="1"/>
  <c r="H49" i="3"/>
  <c r="G49" i="3"/>
  <c r="F49" i="3"/>
  <c r="E49" i="3"/>
  <c r="D49" i="3"/>
  <c r="C49" i="3"/>
  <c r="B49" i="3"/>
  <c r="E46" i="1"/>
  <c r="G46" i="1" s="1"/>
  <c r="I48" i="2"/>
  <c r="I49" i="3" s="1"/>
  <c r="H48" i="3"/>
  <c r="G48" i="3"/>
  <c r="F48" i="3"/>
  <c r="E48" i="3"/>
  <c r="D48" i="3"/>
  <c r="C48" i="3"/>
  <c r="B48" i="3"/>
  <c r="E45" i="1"/>
  <c r="J48" i="3" s="1"/>
  <c r="I47" i="2"/>
  <c r="K47" i="2" s="1"/>
  <c r="H47" i="3"/>
  <c r="G47" i="3"/>
  <c r="F47" i="3"/>
  <c r="E47" i="3"/>
  <c r="D47" i="3"/>
  <c r="C47" i="3"/>
  <c r="B47" i="3"/>
  <c r="E44" i="1"/>
  <c r="J44" i="1" s="1"/>
  <c r="I46" i="2"/>
  <c r="L46" i="2" s="1"/>
  <c r="H46" i="3"/>
  <c r="G46" i="3"/>
  <c r="F46" i="3"/>
  <c r="E46" i="3"/>
  <c r="D46" i="3"/>
  <c r="C46" i="3"/>
  <c r="B46" i="3"/>
  <c r="E43" i="1"/>
  <c r="H43" i="1" s="1"/>
  <c r="M46" i="3" s="1"/>
  <c r="I45" i="2"/>
  <c r="K45" i="2" s="1"/>
  <c r="H45" i="3"/>
  <c r="G45" i="3"/>
  <c r="F45" i="3"/>
  <c r="E45" i="3"/>
  <c r="D45" i="3"/>
  <c r="C45" i="3"/>
  <c r="B45" i="3"/>
  <c r="E42" i="1"/>
  <c r="J42" i="1" s="1"/>
  <c r="I44" i="2"/>
  <c r="L44" i="2" s="1"/>
  <c r="H44" i="3"/>
  <c r="G44" i="3"/>
  <c r="F44" i="3"/>
  <c r="E44" i="3"/>
  <c r="D44" i="3"/>
  <c r="C44" i="3"/>
  <c r="B44" i="3"/>
  <c r="K60" i="3" l="1"/>
  <c r="L53" i="3"/>
  <c r="L58" i="3"/>
  <c r="K58" i="3"/>
  <c r="L60" i="3"/>
  <c r="K57" i="3"/>
  <c r="K53" i="3"/>
  <c r="N55" i="3"/>
  <c r="K59" i="3"/>
  <c r="N60" i="3"/>
  <c r="L57" i="3"/>
  <c r="K55" i="3"/>
  <c r="L56" i="3"/>
  <c r="K56" i="3"/>
  <c r="L52" i="3"/>
  <c r="L55" i="3"/>
  <c r="L54" i="3"/>
  <c r="J50" i="3"/>
  <c r="L47" i="2"/>
  <c r="I47" i="1"/>
  <c r="N52" i="3"/>
  <c r="H48" i="1"/>
  <c r="M51" i="3" s="1"/>
  <c r="I48" i="1"/>
  <c r="N51" i="3" s="1"/>
  <c r="G48" i="1"/>
  <c r="F48" i="1"/>
  <c r="J51" i="3"/>
  <c r="I51" i="3"/>
  <c r="J48" i="1"/>
  <c r="I45" i="1"/>
  <c r="H47" i="1"/>
  <c r="M50" i="3" s="1"/>
  <c r="L49" i="2"/>
  <c r="L48" i="2"/>
  <c r="J50" i="2"/>
  <c r="K50" i="2"/>
  <c r="I50" i="3"/>
  <c r="F47" i="1"/>
  <c r="G47" i="1"/>
  <c r="L50" i="3" s="1"/>
  <c r="J49" i="3"/>
  <c r="I46" i="1"/>
  <c r="F46" i="1"/>
  <c r="H45" i="1"/>
  <c r="M48" i="3" s="1"/>
  <c r="H46" i="1"/>
  <c r="M49" i="3" s="1"/>
  <c r="J49" i="2"/>
  <c r="J46" i="1"/>
  <c r="J47" i="3"/>
  <c r="F45" i="1"/>
  <c r="G45" i="1"/>
  <c r="L48" i="3" s="1"/>
  <c r="J48" i="2"/>
  <c r="K48" i="2"/>
  <c r="L49" i="3" s="1"/>
  <c r="I48" i="3"/>
  <c r="I44" i="1"/>
  <c r="N47" i="3" s="1"/>
  <c r="J45" i="1"/>
  <c r="F43" i="1"/>
  <c r="F44" i="1"/>
  <c r="J47" i="2"/>
  <c r="I47" i="3"/>
  <c r="G44" i="1"/>
  <c r="H44" i="1"/>
  <c r="M47" i="3" s="1"/>
  <c r="J46" i="3"/>
  <c r="J46" i="2"/>
  <c r="K46" i="2"/>
  <c r="L45" i="2"/>
  <c r="I46" i="3"/>
  <c r="I43" i="1"/>
  <c r="J43" i="1"/>
  <c r="G43" i="1"/>
  <c r="L46" i="3" s="1"/>
  <c r="I42" i="1"/>
  <c r="N45" i="3" s="1"/>
  <c r="J45" i="3"/>
  <c r="J45" i="2"/>
  <c r="I45" i="3"/>
  <c r="F42" i="1"/>
  <c r="G42" i="1"/>
  <c r="H42" i="1"/>
  <c r="M45" i="3" s="1"/>
  <c r="J44" i="2"/>
  <c r="K44" i="2"/>
  <c r="E41" i="1"/>
  <c r="J44" i="3" s="1"/>
  <c r="I43" i="2"/>
  <c r="H43" i="3"/>
  <c r="G43" i="3"/>
  <c r="F43" i="3"/>
  <c r="E43" i="3"/>
  <c r="D43" i="3"/>
  <c r="C43" i="3"/>
  <c r="B43" i="3"/>
  <c r="E40" i="1"/>
  <c r="J40" i="1" s="1"/>
  <c r="I42" i="2"/>
  <c r="K42" i="2" s="1"/>
  <c r="H42" i="3"/>
  <c r="G42" i="3"/>
  <c r="F42" i="3"/>
  <c r="E42" i="3"/>
  <c r="D42" i="3"/>
  <c r="C42" i="3"/>
  <c r="B42" i="3"/>
  <c r="K46" i="3" l="1"/>
  <c r="K50" i="3"/>
  <c r="N49" i="3"/>
  <c r="N50" i="3"/>
  <c r="K48" i="3"/>
  <c r="K49" i="3"/>
  <c r="K51" i="3"/>
  <c r="L51" i="3"/>
  <c r="K47" i="3"/>
  <c r="N48" i="3"/>
  <c r="L47" i="3"/>
  <c r="N46" i="3"/>
  <c r="L45" i="3"/>
  <c r="K45" i="3"/>
  <c r="F41" i="1"/>
  <c r="G41" i="1"/>
  <c r="H41" i="1"/>
  <c r="M44" i="3" s="1"/>
  <c r="L43" i="2"/>
  <c r="I44" i="3"/>
  <c r="I41" i="1"/>
  <c r="J41" i="1"/>
  <c r="J43" i="2"/>
  <c r="K43" i="2"/>
  <c r="L42" i="2"/>
  <c r="I43" i="3"/>
  <c r="F40" i="1"/>
  <c r="H40" i="1"/>
  <c r="M43" i="3" s="1"/>
  <c r="I40" i="1"/>
  <c r="J43" i="3"/>
  <c r="G40" i="1"/>
  <c r="L43" i="3" s="1"/>
  <c r="J42" i="2"/>
  <c r="E39" i="1"/>
  <c r="G39" i="1" s="1"/>
  <c r="I41" i="2"/>
  <c r="L41" i="2" s="1"/>
  <c r="H41" i="3"/>
  <c r="G41" i="3"/>
  <c r="F41" i="3"/>
  <c r="E41" i="3"/>
  <c r="D41" i="3"/>
  <c r="C41" i="3"/>
  <c r="B41" i="3"/>
  <c r="E38" i="1"/>
  <c r="I38" i="1" s="1"/>
  <c r="I40" i="2"/>
  <c r="I41" i="3" s="1"/>
  <c r="H40" i="3"/>
  <c r="G40" i="3"/>
  <c r="F40" i="3"/>
  <c r="E40" i="3"/>
  <c r="D40" i="3"/>
  <c r="C40" i="3"/>
  <c r="B40" i="3"/>
  <c r="E37" i="1"/>
  <c r="F37" i="1" s="1"/>
  <c r="I39" i="2"/>
  <c r="L39" i="2" s="1"/>
  <c r="H39" i="3"/>
  <c r="G39" i="3"/>
  <c r="F39" i="3"/>
  <c r="E39" i="3"/>
  <c r="D39" i="3"/>
  <c r="C39" i="3"/>
  <c r="B39" i="3"/>
  <c r="E36" i="1"/>
  <c r="J36" i="1" s="1"/>
  <c r="I38" i="2"/>
  <c r="K38" i="2" s="1"/>
  <c r="H38" i="3"/>
  <c r="G38" i="3"/>
  <c r="F38" i="3"/>
  <c r="E38" i="3"/>
  <c r="D38" i="3"/>
  <c r="C38" i="3"/>
  <c r="B38" i="3"/>
  <c r="E35" i="1"/>
  <c r="I35" i="1" s="1"/>
  <c r="I37" i="2"/>
  <c r="L37" i="2" s="1"/>
  <c r="H37" i="3"/>
  <c r="G37" i="3"/>
  <c r="F37" i="3"/>
  <c r="E37" i="3"/>
  <c r="D37" i="3"/>
  <c r="C37" i="3"/>
  <c r="B37" i="3"/>
  <c r="E34" i="1"/>
  <c r="F34" i="1" s="1"/>
  <c r="I36" i="2"/>
  <c r="K36" i="2" s="1"/>
  <c r="H36" i="3"/>
  <c r="G36" i="3"/>
  <c r="F36" i="3"/>
  <c r="E36" i="3"/>
  <c r="D36" i="3"/>
  <c r="C36" i="3"/>
  <c r="B36" i="3"/>
  <c r="E33" i="1"/>
  <c r="J33" i="1" s="1"/>
  <c r="I35" i="2"/>
  <c r="I36" i="3" s="1"/>
  <c r="L44" i="3" l="1"/>
  <c r="K44" i="3"/>
  <c r="N44" i="3"/>
  <c r="G38" i="1"/>
  <c r="N43" i="3"/>
  <c r="J41" i="3"/>
  <c r="K43" i="3"/>
  <c r="I39" i="1"/>
  <c r="N42" i="3" s="1"/>
  <c r="J42" i="3"/>
  <c r="K41" i="2"/>
  <c r="L42" i="3" s="1"/>
  <c r="I42" i="3"/>
  <c r="F39" i="1"/>
  <c r="J39" i="1"/>
  <c r="H39" i="1"/>
  <c r="M42" i="3" s="1"/>
  <c r="G36" i="1"/>
  <c r="L39" i="3" s="1"/>
  <c r="F38" i="1"/>
  <c r="J41" i="2"/>
  <c r="L40" i="2"/>
  <c r="N41" i="3" s="1"/>
  <c r="J38" i="1"/>
  <c r="I37" i="1"/>
  <c r="N40" i="3" s="1"/>
  <c r="J37" i="1"/>
  <c r="J40" i="3"/>
  <c r="H38" i="1"/>
  <c r="M41" i="3" s="1"/>
  <c r="F36" i="1"/>
  <c r="J40" i="2"/>
  <c r="K40" i="2"/>
  <c r="I39" i="3"/>
  <c r="I40" i="3"/>
  <c r="G37" i="1"/>
  <c r="H37" i="1"/>
  <c r="M40" i="3" s="1"/>
  <c r="H36" i="1"/>
  <c r="M39" i="3" s="1"/>
  <c r="I36" i="1"/>
  <c r="J39" i="3"/>
  <c r="J39" i="2"/>
  <c r="K40" i="3" s="1"/>
  <c r="K39" i="2"/>
  <c r="G34" i="1"/>
  <c r="L37" i="3" s="1"/>
  <c r="J37" i="3"/>
  <c r="H34" i="1"/>
  <c r="M37" i="3" s="1"/>
  <c r="L38" i="2"/>
  <c r="J38" i="2"/>
  <c r="I38" i="3"/>
  <c r="N38" i="3"/>
  <c r="F35" i="1"/>
  <c r="G35" i="1"/>
  <c r="H35" i="1"/>
  <c r="M38" i="3" s="1"/>
  <c r="J38" i="3"/>
  <c r="J35" i="1"/>
  <c r="L35" i="2"/>
  <c r="J37" i="2"/>
  <c r="K37" i="2"/>
  <c r="I37" i="3"/>
  <c r="L36" i="2"/>
  <c r="I34" i="1"/>
  <c r="J34" i="1"/>
  <c r="F33" i="1"/>
  <c r="G33" i="1"/>
  <c r="I33" i="1"/>
  <c r="J36" i="2"/>
  <c r="K37" i="3" s="1"/>
  <c r="J36" i="3"/>
  <c r="H33" i="1"/>
  <c r="M36" i="3" s="1"/>
  <c r="J35" i="2"/>
  <c r="K35" i="2"/>
  <c r="H35" i="3"/>
  <c r="G35" i="3"/>
  <c r="F35" i="3"/>
  <c r="E35" i="3"/>
  <c r="D35" i="3"/>
  <c r="C35" i="3"/>
  <c r="B35" i="3"/>
  <c r="I34" i="2"/>
  <c r="E32" i="1"/>
  <c r="I32" i="1" s="1"/>
  <c r="H34" i="3"/>
  <c r="G34" i="3"/>
  <c r="F34" i="3"/>
  <c r="E34" i="3"/>
  <c r="D34" i="3"/>
  <c r="C34" i="3"/>
  <c r="B34" i="3"/>
  <c r="E31" i="1"/>
  <c r="H31" i="1" s="1"/>
  <c r="M34" i="3" s="1"/>
  <c r="I33" i="2"/>
  <c r="K33" i="2" s="1"/>
  <c r="H33" i="3"/>
  <c r="G33" i="3"/>
  <c r="F33" i="3"/>
  <c r="E33" i="3"/>
  <c r="D33" i="3"/>
  <c r="C33" i="3"/>
  <c r="B33" i="3"/>
  <c r="E30" i="1"/>
  <c r="J30" i="1" s="1"/>
  <c r="I32" i="2"/>
  <c r="I33" i="3" s="1"/>
  <c r="K41" i="3" l="1"/>
  <c r="L41" i="3"/>
  <c r="K42" i="3"/>
  <c r="N36" i="3"/>
  <c r="N39" i="3"/>
  <c r="L40" i="3"/>
  <c r="K39" i="3"/>
  <c r="N37" i="3"/>
  <c r="L38" i="3"/>
  <c r="K38" i="3"/>
  <c r="L36" i="3"/>
  <c r="K36" i="3"/>
  <c r="J32" i="1"/>
  <c r="F32" i="1"/>
  <c r="H32" i="1"/>
  <c r="M35" i="3" s="1"/>
  <c r="G32" i="1"/>
  <c r="K34" i="2"/>
  <c r="L34" i="2"/>
  <c r="N35" i="3" s="1"/>
  <c r="I35" i="3"/>
  <c r="J35" i="3"/>
  <c r="J34" i="2"/>
  <c r="F31" i="1"/>
  <c r="G31" i="1"/>
  <c r="L34" i="3" s="1"/>
  <c r="I31" i="1"/>
  <c r="I34" i="3"/>
  <c r="J34" i="3"/>
  <c r="H30" i="1"/>
  <c r="M33" i="3" s="1"/>
  <c r="I30" i="1"/>
  <c r="J31" i="1"/>
  <c r="F30" i="1"/>
  <c r="G30" i="1"/>
  <c r="L33" i="2"/>
  <c r="J33" i="2"/>
  <c r="L32" i="2"/>
  <c r="J33" i="3"/>
  <c r="J32" i="2"/>
  <c r="K32" i="2"/>
  <c r="H32" i="3"/>
  <c r="G32" i="3"/>
  <c r="F32" i="3"/>
  <c r="E32" i="3"/>
  <c r="D32" i="3"/>
  <c r="C32" i="3"/>
  <c r="B32" i="3"/>
  <c r="E29" i="1"/>
  <c r="J29" i="1" s="1"/>
  <c r="I31" i="2"/>
  <c r="H31" i="3"/>
  <c r="G31" i="3"/>
  <c r="F31" i="3"/>
  <c r="E31" i="3"/>
  <c r="D31" i="3"/>
  <c r="C31" i="3"/>
  <c r="B31" i="3"/>
  <c r="E28" i="1"/>
  <c r="I28" i="1" s="1"/>
  <c r="I30" i="2"/>
  <c r="I31" i="3" s="1"/>
  <c r="H30" i="3"/>
  <c r="G30" i="3"/>
  <c r="F30" i="3"/>
  <c r="E30" i="3"/>
  <c r="D30" i="3"/>
  <c r="C30" i="3"/>
  <c r="B30" i="3"/>
  <c r="E27" i="1"/>
  <c r="J27" i="1" s="1"/>
  <c r="I29" i="2"/>
  <c r="K29" i="2" s="1"/>
  <c r="H29" i="3"/>
  <c r="G29" i="3"/>
  <c r="F29" i="3"/>
  <c r="E29" i="3"/>
  <c r="D29" i="3"/>
  <c r="C29" i="3"/>
  <c r="B29" i="3"/>
  <c r="E26" i="1"/>
  <c r="G26" i="1" s="1"/>
  <c r="I28" i="2"/>
  <c r="K28" i="2" s="1"/>
  <c r="H28" i="3"/>
  <c r="G28" i="3"/>
  <c r="F28" i="3"/>
  <c r="E28" i="3"/>
  <c r="D28" i="3"/>
  <c r="C28" i="3"/>
  <c r="B28" i="3"/>
  <c r="E25" i="1"/>
  <c r="J25" i="1" s="1"/>
  <c r="I27" i="2"/>
  <c r="L27" i="2" s="1"/>
  <c r="H27" i="3"/>
  <c r="G27" i="3"/>
  <c r="F27" i="3"/>
  <c r="E27" i="3"/>
  <c r="D27" i="3"/>
  <c r="C27" i="3"/>
  <c r="B27" i="3"/>
  <c r="I26" i="2"/>
  <c r="L26" i="2" s="1"/>
  <c r="E24" i="1"/>
  <c r="J27" i="3" s="1"/>
  <c r="H26" i="3"/>
  <c r="G26" i="3"/>
  <c r="F26" i="3"/>
  <c r="E26" i="3"/>
  <c r="D26" i="3"/>
  <c r="C26" i="3"/>
  <c r="B26" i="3"/>
  <c r="E23" i="1"/>
  <c r="J23" i="1" s="1"/>
  <c r="I25" i="2"/>
  <c r="L25" i="2" s="1"/>
  <c r="N34" i="3" l="1"/>
  <c r="K35" i="3"/>
  <c r="L35" i="3"/>
  <c r="K33" i="3"/>
  <c r="L33" i="3"/>
  <c r="N33" i="3"/>
  <c r="K34" i="3"/>
  <c r="L28" i="2"/>
  <c r="I29" i="1"/>
  <c r="F29" i="1"/>
  <c r="L30" i="2"/>
  <c r="N31" i="3" s="1"/>
  <c r="I32" i="3"/>
  <c r="L31" i="2"/>
  <c r="J32" i="3"/>
  <c r="F28" i="1"/>
  <c r="G29" i="1"/>
  <c r="H29" i="1"/>
  <c r="M32" i="3" s="1"/>
  <c r="J31" i="2"/>
  <c r="K31" i="2"/>
  <c r="J31" i="3"/>
  <c r="J28" i="1"/>
  <c r="G28" i="1"/>
  <c r="H28" i="1"/>
  <c r="M31" i="3" s="1"/>
  <c r="J30" i="2"/>
  <c r="L29" i="2"/>
  <c r="K30" i="2"/>
  <c r="I30" i="3"/>
  <c r="F27" i="1"/>
  <c r="H27" i="1"/>
  <c r="M30" i="3" s="1"/>
  <c r="J30" i="3"/>
  <c r="L29" i="3"/>
  <c r="F26" i="1"/>
  <c r="H26" i="1"/>
  <c r="M29" i="3" s="1"/>
  <c r="G27" i="1"/>
  <c r="L30" i="3" s="1"/>
  <c r="J29" i="3"/>
  <c r="I27" i="1"/>
  <c r="I29" i="3"/>
  <c r="J29" i="2"/>
  <c r="I26" i="1"/>
  <c r="J26" i="1"/>
  <c r="G25" i="1"/>
  <c r="I25" i="1"/>
  <c r="N28" i="3" s="1"/>
  <c r="J28" i="2"/>
  <c r="I28" i="3"/>
  <c r="F25" i="1"/>
  <c r="J28" i="3"/>
  <c r="F24" i="1"/>
  <c r="H25" i="1"/>
  <c r="M28" i="3" s="1"/>
  <c r="G24" i="1"/>
  <c r="H24" i="1"/>
  <c r="M27" i="3" s="1"/>
  <c r="J27" i="2"/>
  <c r="K27" i="2"/>
  <c r="I24" i="1"/>
  <c r="N27" i="3" s="1"/>
  <c r="I27" i="3"/>
  <c r="J26" i="2"/>
  <c r="K26" i="2"/>
  <c r="J24" i="1"/>
  <c r="F23" i="1"/>
  <c r="I23" i="1"/>
  <c r="N26" i="3" s="1"/>
  <c r="H23" i="1"/>
  <c r="M26" i="3" s="1"/>
  <c r="I26" i="3"/>
  <c r="G23" i="1"/>
  <c r="J26" i="3"/>
  <c r="J25" i="2"/>
  <c r="K25" i="2"/>
  <c r="H25" i="3"/>
  <c r="G25" i="3"/>
  <c r="F25" i="3"/>
  <c r="E25" i="3"/>
  <c r="D25" i="3"/>
  <c r="C25" i="3"/>
  <c r="B25" i="3"/>
  <c r="E22" i="1"/>
  <c r="I24" i="2"/>
  <c r="J24" i="2" s="1"/>
  <c r="H24" i="3"/>
  <c r="G24" i="3"/>
  <c r="F24" i="3"/>
  <c r="E24" i="3"/>
  <c r="D24" i="3"/>
  <c r="C24" i="3"/>
  <c r="B24" i="3"/>
  <c r="E21" i="1"/>
  <c r="J21" i="1" s="1"/>
  <c r="I23" i="2"/>
  <c r="K23" i="2" s="1"/>
  <c r="H23" i="3"/>
  <c r="G23" i="3"/>
  <c r="F23" i="3"/>
  <c r="E23" i="3"/>
  <c r="D23" i="3"/>
  <c r="C23" i="3"/>
  <c r="B23" i="3"/>
  <c r="E20" i="1"/>
  <c r="J20" i="1" s="1"/>
  <c r="I22" i="2"/>
  <c r="L22" i="2" s="1"/>
  <c r="H22" i="3"/>
  <c r="G22" i="3"/>
  <c r="F22" i="3"/>
  <c r="E22" i="3"/>
  <c r="D22" i="3"/>
  <c r="C22" i="3"/>
  <c r="B22" i="3"/>
  <c r="E19" i="1"/>
  <c r="J19" i="1" s="1"/>
  <c r="I21" i="2"/>
  <c r="I22" i="3" s="1"/>
  <c r="H21" i="3"/>
  <c r="G21" i="3"/>
  <c r="F21" i="3"/>
  <c r="E21" i="3"/>
  <c r="D21" i="3"/>
  <c r="C21" i="3"/>
  <c r="B21" i="3"/>
  <c r="E18" i="1"/>
  <c r="J18" i="1" s="1"/>
  <c r="I20" i="2"/>
  <c r="L20" i="2" s="1"/>
  <c r="H20" i="3"/>
  <c r="G20" i="3"/>
  <c r="F20" i="3"/>
  <c r="E20" i="3"/>
  <c r="D20" i="3"/>
  <c r="C20" i="3"/>
  <c r="B20" i="3"/>
  <c r="E17" i="1"/>
  <c r="I17" i="1" s="1"/>
  <c r="I19" i="2"/>
  <c r="L19" i="2" s="1"/>
  <c r="H19" i="3"/>
  <c r="G19" i="3"/>
  <c r="F19" i="3"/>
  <c r="E19" i="3"/>
  <c r="D19" i="3"/>
  <c r="C19" i="3"/>
  <c r="B19" i="3"/>
  <c r="E16" i="1"/>
  <c r="J16" i="1" s="1"/>
  <c r="I18" i="2"/>
  <c r="L18" i="2" s="1"/>
  <c r="H18" i="3"/>
  <c r="G18" i="3"/>
  <c r="F18" i="3"/>
  <c r="E18" i="3"/>
  <c r="D18" i="3"/>
  <c r="C18" i="3"/>
  <c r="B18" i="3"/>
  <c r="E15" i="1"/>
  <c r="J18" i="3" s="1"/>
  <c r="I17" i="2"/>
  <c r="J17" i="2" s="1"/>
  <c r="H17" i="3"/>
  <c r="G17" i="3"/>
  <c r="F17" i="3"/>
  <c r="E17" i="3"/>
  <c r="D17" i="3"/>
  <c r="C17" i="3"/>
  <c r="B17" i="3"/>
  <c r="E14" i="1"/>
  <c r="J14" i="1" s="1"/>
  <c r="I16" i="2"/>
  <c r="L16" i="2" s="1"/>
  <c r="H16" i="3"/>
  <c r="G16" i="3"/>
  <c r="F16" i="3"/>
  <c r="E16" i="3"/>
  <c r="D16" i="3"/>
  <c r="C16" i="3"/>
  <c r="B16" i="3"/>
  <c r="E13" i="1"/>
  <c r="J13" i="1" s="1"/>
  <c r="I15" i="2"/>
  <c r="J15" i="2" s="1"/>
  <c r="N29" i="3" l="1"/>
  <c r="K32" i="3"/>
  <c r="K31" i="3"/>
  <c r="L32" i="3"/>
  <c r="K29" i="3"/>
  <c r="N32" i="3"/>
  <c r="L31" i="3"/>
  <c r="N30" i="3"/>
  <c r="K30" i="3"/>
  <c r="K27" i="3"/>
  <c r="L28" i="3"/>
  <c r="K28" i="3"/>
  <c r="K26" i="3"/>
  <c r="L27" i="3"/>
  <c r="G21" i="1"/>
  <c r="L24" i="3" s="1"/>
  <c r="L26" i="3"/>
  <c r="J25" i="3"/>
  <c r="I22" i="1"/>
  <c r="G22" i="1"/>
  <c r="F22" i="1"/>
  <c r="K25" i="3" s="1"/>
  <c r="F21" i="1"/>
  <c r="I25" i="3"/>
  <c r="L24" i="2"/>
  <c r="J22" i="1"/>
  <c r="H22" i="1"/>
  <c r="M25" i="3" s="1"/>
  <c r="K24" i="2"/>
  <c r="I24" i="3"/>
  <c r="L23" i="2"/>
  <c r="I21" i="1"/>
  <c r="J24" i="3"/>
  <c r="F20" i="1"/>
  <c r="H21" i="1"/>
  <c r="M24" i="3" s="1"/>
  <c r="I20" i="1"/>
  <c r="N23" i="3" s="1"/>
  <c r="J23" i="2"/>
  <c r="I23" i="3"/>
  <c r="J23" i="3"/>
  <c r="G20" i="1"/>
  <c r="H20" i="1"/>
  <c r="M23" i="3" s="1"/>
  <c r="F19" i="1"/>
  <c r="I19" i="1"/>
  <c r="J22" i="2"/>
  <c r="K22" i="2"/>
  <c r="L21" i="2"/>
  <c r="H19" i="1"/>
  <c r="M22" i="3" s="1"/>
  <c r="J22" i="3"/>
  <c r="G17" i="1"/>
  <c r="F17" i="1"/>
  <c r="H17" i="1"/>
  <c r="M20" i="3" s="1"/>
  <c r="G19" i="1"/>
  <c r="F18" i="1"/>
  <c r="H18" i="1"/>
  <c r="M21" i="3" s="1"/>
  <c r="J21" i="2"/>
  <c r="K21" i="2"/>
  <c r="I21" i="3"/>
  <c r="G18" i="1"/>
  <c r="J21" i="3"/>
  <c r="J20" i="3"/>
  <c r="F16" i="1"/>
  <c r="I18" i="1"/>
  <c r="N21" i="3" s="1"/>
  <c r="H16" i="1"/>
  <c r="M19" i="3" s="1"/>
  <c r="J20" i="2"/>
  <c r="K20" i="2"/>
  <c r="N20" i="3"/>
  <c r="I20" i="3"/>
  <c r="J17" i="1"/>
  <c r="J19" i="2"/>
  <c r="K19" i="2"/>
  <c r="I19" i="3"/>
  <c r="G16" i="1"/>
  <c r="J19" i="3"/>
  <c r="I14" i="1"/>
  <c r="N17" i="3" s="1"/>
  <c r="G14" i="1"/>
  <c r="F15" i="1"/>
  <c r="K18" i="3" s="1"/>
  <c r="H15" i="1"/>
  <c r="M18" i="3" s="1"/>
  <c r="I16" i="1"/>
  <c r="N19" i="3" s="1"/>
  <c r="G15" i="1"/>
  <c r="J18" i="2"/>
  <c r="K18" i="2"/>
  <c r="L17" i="2"/>
  <c r="I18" i="3"/>
  <c r="I15" i="1"/>
  <c r="J15" i="1"/>
  <c r="J17" i="3"/>
  <c r="K17" i="2"/>
  <c r="I17" i="3"/>
  <c r="F14" i="1"/>
  <c r="H14" i="1"/>
  <c r="M17" i="3" s="1"/>
  <c r="I13" i="1"/>
  <c r="F13" i="1"/>
  <c r="K16" i="3" s="1"/>
  <c r="G13" i="1"/>
  <c r="H13" i="1"/>
  <c r="M16" i="3" s="1"/>
  <c r="J16" i="2"/>
  <c r="K16" i="2"/>
  <c r="L15" i="2"/>
  <c r="I16" i="3"/>
  <c r="J16" i="3"/>
  <c r="K15" i="2"/>
  <c r="H15" i="3"/>
  <c r="G15" i="3"/>
  <c r="F15" i="3"/>
  <c r="E15" i="3"/>
  <c r="D15" i="3"/>
  <c r="C15" i="3"/>
  <c r="B15" i="3"/>
  <c r="I14" i="2"/>
  <c r="E12" i="1"/>
  <c r="J12" i="1" s="1"/>
  <c r="N25" i="3" l="1"/>
  <c r="K20" i="3"/>
  <c r="L25" i="3"/>
  <c r="L18" i="3"/>
  <c r="K24" i="3"/>
  <c r="N22" i="3"/>
  <c r="K23" i="3"/>
  <c r="N24" i="3"/>
  <c r="L23" i="3"/>
  <c r="K19" i="3"/>
  <c r="K22" i="3"/>
  <c r="L20" i="3"/>
  <c r="L22" i="3"/>
  <c r="K21" i="3"/>
  <c r="L21" i="3"/>
  <c r="L17" i="3"/>
  <c r="L19" i="3"/>
  <c r="K17" i="3"/>
  <c r="L16" i="3"/>
  <c r="N18" i="3"/>
  <c r="N16" i="3"/>
  <c r="J14" i="2"/>
  <c r="L14" i="2"/>
  <c r="F12" i="1"/>
  <c r="H12" i="1"/>
  <c r="M15" i="3" s="1"/>
  <c r="I12" i="1"/>
  <c r="I15" i="3"/>
  <c r="J15" i="3"/>
  <c r="G12" i="1"/>
  <c r="K14" i="2"/>
  <c r="N15" i="3" l="1"/>
  <c r="K15" i="3"/>
  <c r="L15" i="3"/>
  <c r="H14" i="3"/>
  <c r="G14" i="3"/>
  <c r="F14" i="3"/>
  <c r="E14" i="3"/>
  <c r="D14" i="3"/>
  <c r="C14" i="3"/>
  <c r="B14" i="3"/>
  <c r="I13" i="2"/>
  <c r="K13" i="2" l="1"/>
  <c r="L13" i="2"/>
  <c r="I14" i="3"/>
  <c r="J13" i="2"/>
  <c r="E11" i="1"/>
  <c r="J14" i="3" s="1"/>
  <c r="G11" i="1" l="1"/>
  <c r="L14" i="3" s="1"/>
  <c r="I11" i="1"/>
  <c r="N14" i="3" s="1"/>
  <c r="F11" i="1"/>
  <c r="K14" i="3" s="1"/>
  <c r="H11" i="1"/>
  <c r="M14" i="3" s="1"/>
  <c r="J11" i="1"/>
  <c r="H13" i="3" l="1"/>
  <c r="G13" i="3"/>
  <c r="F13" i="3"/>
  <c r="E13" i="3"/>
  <c r="D13" i="3"/>
  <c r="C13" i="3"/>
  <c r="B13" i="3"/>
  <c r="E10" i="1"/>
  <c r="I12" i="2"/>
  <c r="L12" i="2" s="1"/>
  <c r="I10" i="1" l="1"/>
  <c r="N13" i="3" s="1"/>
  <c r="F10" i="1"/>
  <c r="I13" i="3"/>
  <c r="G10" i="1"/>
  <c r="J13" i="3"/>
  <c r="J10" i="1"/>
  <c r="H10" i="1"/>
  <c r="M13" i="3" s="1"/>
  <c r="J12" i="2"/>
  <c r="K12" i="2"/>
  <c r="K13" i="3" l="1"/>
  <c r="L13" i="3"/>
  <c r="H12" i="3" l="1"/>
  <c r="G12" i="3"/>
  <c r="F12" i="3"/>
  <c r="E12" i="3"/>
  <c r="D12" i="3"/>
  <c r="C12" i="3"/>
  <c r="B12" i="3"/>
  <c r="I11" i="2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E9" i="1"/>
  <c r="J9" i="1" s="1"/>
  <c r="I12" i="3" l="1"/>
  <c r="J11" i="2"/>
  <c r="L11" i="2"/>
  <c r="F9" i="1"/>
  <c r="G9" i="1"/>
  <c r="H9" i="1"/>
  <c r="M12" i="3" s="1"/>
  <c r="J12" i="3"/>
  <c r="K11" i="2"/>
  <c r="I9" i="1"/>
  <c r="K12" i="3" l="1"/>
  <c r="L12" i="3"/>
  <c r="N12" i="3"/>
  <c r="H11" i="3" l="1"/>
  <c r="G11" i="3"/>
  <c r="F11" i="3"/>
  <c r="E11" i="3"/>
  <c r="D11" i="3"/>
  <c r="C11" i="3"/>
  <c r="B11" i="3"/>
  <c r="E8" i="1"/>
  <c r="I10" i="2"/>
  <c r="K10" i="2" l="1"/>
  <c r="L10" i="2"/>
  <c r="J8" i="1"/>
  <c r="H8" i="1"/>
  <c r="M11" i="3" s="1"/>
  <c r="G8" i="1"/>
  <c r="F8" i="1"/>
  <c r="J11" i="3"/>
  <c r="I11" i="3"/>
  <c r="I8" i="1"/>
  <c r="J10" i="2"/>
  <c r="I9" i="2"/>
  <c r="J9" i="2" s="1"/>
  <c r="K11" i="3" l="1"/>
  <c r="L11" i="3"/>
  <c r="N11" i="3"/>
  <c r="I10" i="3"/>
  <c r="H10" i="3"/>
  <c r="G10" i="3"/>
  <c r="F10" i="3"/>
  <c r="E10" i="3"/>
  <c r="D10" i="3"/>
  <c r="C10" i="3"/>
  <c r="B10" i="3"/>
  <c r="L9" i="2"/>
  <c r="K9" i="2"/>
  <c r="E7" i="1"/>
  <c r="F7" i="1" s="1"/>
  <c r="G7" i="1" l="1"/>
  <c r="L10" i="3" s="1"/>
  <c r="H7" i="1"/>
  <c r="M10" i="3" s="1"/>
  <c r="I7" i="1"/>
  <c r="N10" i="3" s="1"/>
  <c r="J10" i="3"/>
  <c r="K10" i="3"/>
  <c r="J7" i="1"/>
  <c r="B62" i="2" l="1"/>
  <c r="C62" i="2"/>
  <c r="D62" i="2"/>
  <c r="B60" i="1" l="1"/>
  <c r="C9" i="3" l="1"/>
  <c r="C63" i="3" s="1"/>
  <c r="D9" i="3"/>
  <c r="D63" i="3" s="1"/>
  <c r="E9" i="3"/>
  <c r="E63" i="3" s="1"/>
  <c r="F9" i="3"/>
  <c r="F63" i="3" s="1"/>
  <c r="G9" i="3"/>
  <c r="G63" i="3" s="1"/>
  <c r="H9" i="3"/>
  <c r="H63" i="3" s="1"/>
  <c r="B9" i="3"/>
  <c r="B63" i="3" s="1"/>
  <c r="E62" i="2" l="1"/>
  <c r="F62" i="2"/>
  <c r="G62" i="2"/>
  <c r="H62" i="2"/>
  <c r="K60" i="1"/>
  <c r="C60" i="1"/>
  <c r="D60" i="1"/>
  <c r="I8" i="2"/>
  <c r="L8" i="2" s="1"/>
  <c r="I2" i="2"/>
  <c r="E6" i="1"/>
  <c r="I6" i="1" s="1"/>
  <c r="L62" i="2" l="1"/>
  <c r="I60" i="1"/>
  <c r="H6" i="1"/>
  <c r="G6" i="1"/>
  <c r="G60" i="1" s="1"/>
  <c r="F6" i="1"/>
  <c r="F60" i="1" s="1"/>
  <c r="K8" i="2"/>
  <c r="K62" i="2" s="1"/>
  <c r="J8" i="2"/>
  <c r="J62" i="2" s="1"/>
  <c r="J6" i="1"/>
  <c r="J60" i="1" s="1"/>
  <c r="I62" i="2"/>
  <c r="J9" i="3"/>
  <c r="J63" i="3" s="1"/>
  <c r="E60" i="1"/>
  <c r="I9" i="3"/>
  <c r="I63" i="3" s="1"/>
  <c r="N9" i="3" l="1"/>
  <c r="N63" i="3" s="1"/>
  <c r="M9" i="3"/>
  <c r="M63" i="3" s="1"/>
  <c r="H60" i="1"/>
  <c r="K9" i="3"/>
  <c r="K63" i="3" s="1"/>
  <c r="L9" i="3"/>
  <c r="L63" i="3" s="1"/>
</calcChain>
</file>

<file path=xl/sharedStrings.xml><?xml version="1.0" encoding="utf-8"?>
<sst xmlns="http://schemas.openxmlformats.org/spreadsheetml/2006/main" count="56" uniqueCount="41">
  <si>
    <t>Amount
Played</t>
  </si>
  <si>
    <t>Adjusted
Amount
Won</t>
  </si>
  <si>
    <t>Promo</t>
  </si>
  <si>
    <t>Gross
Terminal Revenue</t>
  </si>
  <si>
    <t>State
Share
36%</t>
  </si>
  <si>
    <t>Human
Resource
Benefit Fund
17%</t>
  </si>
  <si>
    <t>Capital
Reinvestment
4.7%</t>
  </si>
  <si>
    <t>Greenbrier
Share
42.3%</t>
  </si>
  <si>
    <t>Average
GTI / # Term</t>
  </si>
  <si>
    <t>**  Represents an average of the number of machines in use for the week, averaged for the fiscal year.</t>
  </si>
  <si>
    <t>Number
Terminals **</t>
  </si>
  <si>
    <t>Craps</t>
  </si>
  <si>
    <t>Mini Bac</t>
  </si>
  <si>
    <t>Poker
Tournament</t>
  </si>
  <si>
    <t>Roulette</t>
  </si>
  <si>
    <t>Single
Roulette</t>
  </si>
  <si>
    <t>Three Card
Poker</t>
  </si>
  <si>
    <t>Gross
Receipts</t>
  </si>
  <si>
    <t>State
Share
30%</t>
  </si>
  <si>
    <t>Human
Resource
Benefit Fund
5%</t>
  </si>
  <si>
    <t>Greenbrier
Share
65%</t>
  </si>
  <si>
    <t>State
Share</t>
  </si>
  <si>
    <t>Human
Resource
Benefit Fund</t>
  </si>
  <si>
    <t>Greenbrier
Share</t>
  </si>
  <si>
    <t>Capital
Reinvestment</t>
  </si>
  <si>
    <t>WEEKLY GREENBRIER HISTORIC RESORT REVENUE SUMMARY</t>
  </si>
  <si>
    <t>Blackjack</t>
  </si>
  <si>
    <t>Table Games Gross
Receipts</t>
  </si>
  <si>
    <t>Video Gross
Terminal
Revenue</t>
  </si>
  <si>
    <t>WEST VIRGINIA LOTTERY</t>
  </si>
  <si>
    <t>7/6/2024 *</t>
  </si>
  <si>
    <t xml:space="preserve">  *  Represents 6 days to start the fiscal year.</t>
  </si>
  <si>
    <t>FISCAL YEAR 2025</t>
  </si>
  <si>
    <t>FY2024</t>
  </si>
  <si>
    <t xml:space="preserve"> </t>
  </si>
  <si>
    <t>6/30/2025 ***</t>
  </si>
  <si>
    <t>6/30/2025**</t>
  </si>
  <si>
    <t xml:space="preserve">  **  Represents 2 days to end the fiscal year.</t>
  </si>
  <si>
    <t xml:space="preserve"> FOR THE WEEK ENDING JUNE 30, 2025</t>
  </si>
  <si>
    <t xml:space="preserve">  ** Represents 2 days to end the fiscal year.</t>
  </si>
  <si>
    <t xml:space="preserve">  *** Represents 2 days to end the fiscal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</si>
</sst>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/>
    <xf numFmtId="44" fontId="0" fillId="0" borderId="2" xfId="0" applyNumberFormat="1" applyBorder="1"/>
    <xf numFmtId="0" fontId="3" fillId="0" borderId="0" xfId="0" applyFont="1"/>
    <xf numFmtId="164" fontId="0" fillId="0" borderId="0" xfId="0" applyNumberFormat="1" applyAlignment="1">
      <alignment horizontal="center"/>
    </xf>
    <xf numFmtId="14" fontId="0" fillId="0" borderId="0" xfId="1" applyNumberFormat="1" applyFont="1" applyAlignment="1">
      <alignment horizontal="left"/>
    </xf>
    <xf numFmtId="44" fontId="0" fillId="0" borderId="0" xfId="1" applyFont="1" applyAlignment="1">
      <alignment horizontal="center"/>
    </xf>
    <xf numFmtId="44" fontId="0" fillId="0" borderId="2" xfId="1" applyFon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44" fontId="0" fillId="0" borderId="0" xfId="0" applyNumberFormat="1"/>
    <xf numFmtId="0" fontId="6" fillId="0" borderId="0" xfId="2" applyFont="1" applyAlignment="1">
      <alignment horizontal="left"/>
    </xf>
    <xf numFmtId="0" fontId="3" fillId="0" borderId="0" xfId="0" applyFont="1" applyAlignment="1">
      <alignment vertical="center"/>
    </xf>
    <xf numFmtId="14" fontId="0" fillId="0" borderId="0" xfId="1" quotePrefix="1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Currency" xfId="1" builtinId="4"/>
    <cellStyle name="Currency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6"/>
  <sheetViews>
    <sheetView tabSelected="1" zoomScaleNormal="100" workbookViewId="0">
      <pane ySplit="7" topLeftCell="A50" activePane="bottomLeft" state="frozen"/>
      <selection pane="bottomLeft" activeCell="A62" sqref="A62"/>
    </sheetView>
  </sheetViews>
  <sheetFormatPr defaultRowHeight="15" customHeight="1" x14ac:dyDescent="0.25"/>
  <cols>
    <col min="1" max="1" width="12.7109375" customWidth="1"/>
    <col min="2" max="2" width="15.140625" bestFit="1" customWidth="1"/>
    <col min="3" max="4" width="13.42578125" bestFit="1" customWidth="1"/>
    <col min="5" max="5" width="13.140625" customWidth="1"/>
    <col min="6" max="6" width="14.28515625" customWidth="1"/>
    <col min="7" max="8" width="13.42578125" bestFit="1" customWidth="1"/>
    <col min="9" max="11" width="15.140625" bestFit="1" customWidth="1"/>
    <col min="12" max="12" width="14.28515625" bestFit="1" customWidth="1"/>
    <col min="13" max="13" width="13.42578125" bestFit="1" customWidth="1"/>
    <col min="14" max="14" width="15.140625" bestFit="1" customWidth="1"/>
    <col min="15" max="15" width="10.7109375" customWidth="1"/>
  </cols>
  <sheetData>
    <row r="1" spans="1:14" ht="18.75" x14ac:dyDescent="0.3">
      <c r="A1" s="18" t="s">
        <v>29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15" customHeight="1" x14ac:dyDescent="0.25">
      <c r="A2" s="19" t="s">
        <v>25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15" customHeight="1" x14ac:dyDescent="0.25">
      <c r="A3" s="19" t="s">
        <v>38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14" ht="15" customHeight="1" x14ac:dyDescent="0.25">
      <c r="A4" s="19" t="s">
        <v>32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4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7" spans="1:14" s="1" customFormat="1" ht="45" x14ac:dyDescent="0.25">
      <c r="B7" s="2" t="s">
        <v>26</v>
      </c>
      <c r="C7" s="3" t="s">
        <v>11</v>
      </c>
      <c r="D7" s="2" t="s">
        <v>12</v>
      </c>
      <c r="E7" s="2" t="s">
        <v>13</v>
      </c>
      <c r="F7" s="2" t="s">
        <v>14</v>
      </c>
      <c r="G7" s="2" t="s">
        <v>15</v>
      </c>
      <c r="H7" s="2" t="s">
        <v>16</v>
      </c>
      <c r="I7" s="2" t="s">
        <v>27</v>
      </c>
      <c r="J7" s="2" t="s">
        <v>28</v>
      </c>
      <c r="K7" s="2" t="s">
        <v>21</v>
      </c>
      <c r="L7" s="2" t="s">
        <v>22</v>
      </c>
      <c r="M7" s="2" t="s">
        <v>24</v>
      </c>
      <c r="N7" s="2" t="s">
        <v>23</v>
      </c>
    </row>
    <row r="8" spans="1:14" ht="15" customHeight="1" x14ac:dyDescent="0.25">
      <c r="A8" s="10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5" customHeight="1" x14ac:dyDescent="0.25">
      <c r="A9" s="10" t="s">
        <v>30</v>
      </c>
      <c r="B9" s="6">
        <f>'Table Games'!B8</f>
        <v>133739.5</v>
      </c>
      <c r="C9" s="6">
        <f>'Table Games'!C8</f>
        <v>6326</v>
      </c>
      <c r="D9" s="6">
        <f>'Table Games'!D8</f>
        <v>0</v>
      </c>
      <c r="E9" s="6">
        <f>'Table Games'!E8</f>
        <v>0</v>
      </c>
      <c r="F9" s="6">
        <f>'Table Games'!F8</f>
        <v>15961</v>
      </c>
      <c r="G9" s="6">
        <f>'Table Games'!G8</f>
        <v>-15470</v>
      </c>
      <c r="H9" s="6">
        <f>'Table Games'!H8</f>
        <v>27597</v>
      </c>
      <c r="I9" s="6">
        <f>'Table Games'!I8</f>
        <v>168153.5</v>
      </c>
      <c r="J9" s="6">
        <f>Video!E6</f>
        <v>58500.859999999986</v>
      </c>
      <c r="K9" s="6">
        <f>'Table Games'!J8+Video!F6</f>
        <v>71506.39</v>
      </c>
      <c r="L9" s="6">
        <f>'Table Games'!K8+Video!G6</f>
        <v>18352.82</v>
      </c>
      <c r="M9" s="6">
        <f>Video!H6</f>
        <v>2749.5299999999997</v>
      </c>
      <c r="N9" s="6">
        <f>'Table Games'!L8+Video!I6</f>
        <v>134045.62</v>
      </c>
    </row>
    <row r="10" spans="1:14" ht="15" customHeight="1" x14ac:dyDescent="0.25">
      <c r="A10" s="10">
        <v>45486</v>
      </c>
      <c r="B10" s="6">
        <f>'Table Games'!B9</f>
        <v>85973</v>
      </c>
      <c r="C10" s="6">
        <f>'Table Games'!C9</f>
        <v>24977</v>
      </c>
      <c r="D10" s="6">
        <f>'Table Games'!D9</f>
        <v>0</v>
      </c>
      <c r="E10" s="6">
        <f>'Table Games'!E9</f>
        <v>0</v>
      </c>
      <c r="F10" s="6">
        <f>'Table Games'!F9</f>
        <v>5024</v>
      </c>
      <c r="G10" s="6">
        <f>'Table Games'!G9</f>
        <v>0</v>
      </c>
      <c r="H10" s="6">
        <f>'Table Games'!H9</f>
        <v>3040</v>
      </c>
      <c r="I10" s="6">
        <f>'Table Games'!I9</f>
        <v>119014</v>
      </c>
      <c r="J10" s="6">
        <f>Video!E7</f>
        <v>36672.789999999921</v>
      </c>
      <c r="K10" s="6">
        <f>'Table Games'!J9+Video!F7</f>
        <v>48906.39</v>
      </c>
      <c r="L10" s="6">
        <f>'Table Games'!K9+Video!G7</f>
        <v>12185.09</v>
      </c>
      <c r="M10" s="6">
        <f>Video!H7</f>
        <v>1723.62</v>
      </c>
      <c r="N10" s="6">
        <f>'Table Games'!L9+Video!I7</f>
        <v>92871.69</v>
      </c>
    </row>
    <row r="11" spans="1:14" ht="15" customHeight="1" x14ac:dyDescent="0.25">
      <c r="A11" s="10">
        <f t="shared" ref="A11:A60" si="0">A10+7</f>
        <v>45493</v>
      </c>
      <c r="B11" s="6">
        <f>'Table Games'!B10</f>
        <v>77511.5</v>
      </c>
      <c r="C11" s="6">
        <f>'Table Games'!C10</f>
        <v>-13636</v>
      </c>
      <c r="D11" s="6">
        <f>'Table Games'!D10</f>
        <v>-3533.75</v>
      </c>
      <c r="E11" s="6">
        <f>'Table Games'!E10</f>
        <v>0</v>
      </c>
      <c r="F11" s="6">
        <f>'Table Games'!F10</f>
        <v>4808</v>
      </c>
      <c r="G11" s="6">
        <f>'Table Games'!G10</f>
        <v>0</v>
      </c>
      <c r="H11" s="6">
        <f>'Table Games'!H10</f>
        <v>13014</v>
      </c>
      <c r="I11" s="6">
        <f>'Table Games'!I10</f>
        <v>78163.75</v>
      </c>
      <c r="J11" s="6">
        <f>Video!E8</f>
        <v>76741.550000000047</v>
      </c>
      <c r="K11" s="6">
        <f>'Table Games'!J10+Video!F8</f>
        <v>51076.07</v>
      </c>
      <c r="L11" s="6">
        <f>'Table Games'!K10+Video!G8</f>
        <v>16954.259999999998</v>
      </c>
      <c r="M11" s="6">
        <f>Video!H8</f>
        <v>3606.86</v>
      </c>
      <c r="N11" s="6">
        <f>'Table Games'!L10+Video!I8</f>
        <v>83268.11</v>
      </c>
    </row>
    <row r="12" spans="1:14" ht="15" customHeight="1" x14ac:dyDescent="0.25">
      <c r="A12" s="10">
        <f t="shared" si="0"/>
        <v>45500</v>
      </c>
      <c r="B12" s="6">
        <f>'Table Games'!B11</f>
        <v>110577.5</v>
      </c>
      <c r="C12" s="6">
        <f>'Table Games'!C11</f>
        <v>11675</v>
      </c>
      <c r="D12" s="6">
        <f>'Table Games'!D11</f>
        <v>0</v>
      </c>
      <c r="E12" s="6">
        <f>'Table Games'!E11</f>
        <v>0</v>
      </c>
      <c r="F12" s="6">
        <f>'Table Games'!F11</f>
        <v>15493</v>
      </c>
      <c r="G12" s="6">
        <f>'Table Games'!G11</f>
        <v>0</v>
      </c>
      <c r="H12" s="6">
        <f>'Table Games'!H11</f>
        <v>-471</v>
      </c>
      <c r="I12" s="6">
        <f>'Table Games'!I11</f>
        <v>137274.5</v>
      </c>
      <c r="J12" s="6">
        <f>Video!E9</f>
        <v>88563.37</v>
      </c>
      <c r="K12" s="6">
        <f>'Table Games'!J11+Video!F9</f>
        <v>73065.17</v>
      </c>
      <c r="L12" s="6">
        <f>'Table Games'!K11+Video!G9</f>
        <v>21919.489999999998</v>
      </c>
      <c r="M12" s="6">
        <f>Video!H9</f>
        <v>4162.4799999999996</v>
      </c>
      <c r="N12" s="6">
        <f>'Table Games'!L11+Video!I9</f>
        <v>126690.73</v>
      </c>
    </row>
    <row r="13" spans="1:14" ht="15" customHeight="1" x14ac:dyDescent="0.25">
      <c r="A13" s="10">
        <f t="shared" si="0"/>
        <v>45507</v>
      </c>
      <c r="B13" s="6">
        <f>'Table Games'!B12</f>
        <v>-70487</v>
      </c>
      <c r="C13" s="6">
        <f>'Table Games'!C12</f>
        <v>8075</v>
      </c>
      <c r="D13" s="6">
        <f>'Table Games'!D12</f>
        <v>0</v>
      </c>
      <c r="E13" s="6">
        <f>'Table Games'!E12</f>
        <v>0</v>
      </c>
      <c r="F13" s="6">
        <f>'Table Games'!F12</f>
        <v>11703</v>
      </c>
      <c r="G13" s="6">
        <f>'Table Games'!G12</f>
        <v>0</v>
      </c>
      <c r="H13" s="6">
        <f>'Table Games'!H12</f>
        <v>-1326</v>
      </c>
      <c r="I13" s="6">
        <f>'Table Games'!I12</f>
        <v>-52035</v>
      </c>
      <c r="J13" s="6">
        <f>Video!E10</f>
        <v>40305.890000000014</v>
      </c>
      <c r="K13" s="6">
        <f>'Table Games'!J12+Video!F10</f>
        <v>-1100.3899999999994</v>
      </c>
      <c r="L13" s="6">
        <f>'Table Games'!K12+Video!G10</f>
        <v>4250.25</v>
      </c>
      <c r="M13" s="6">
        <f>Video!H10</f>
        <v>1894.38</v>
      </c>
      <c r="N13" s="6">
        <f>'Table Games'!L12+Video!I10</f>
        <v>-16773.350000000002</v>
      </c>
    </row>
    <row r="14" spans="1:14" ht="15" customHeight="1" x14ac:dyDescent="0.25">
      <c r="A14" s="10">
        <f t="shared" si="0"/>
        <v>45514</v>
      </c>
      <c r="B14" s="6">
        <f>'Table Games'!B13</f>
        <v>-3005.5</v>
      </c>
      <c r="C14" s="6">
        <f>'Table Games'!C13</f>
        <v>8990</v>
      </c>
      <c r="D14" s="6">
        <f>'Table Games'!D13</f>
        <v>0</v>
      </c>
      <c r="E14" s="6">
        <f>'Table Games'!E13</f>
        <v>0</v>
      </c>
      <c r="F14" s="6">
        <f>'Table Games'!F13</f>
        <v>16450</v>
      </c>
      <c r="G14" s="6">
        <f>'Table Games'!G13</f>
        <v>0</v>
      </c>
      <c r="H14" s="6">
        <f>'Table Games'!H13</f>
        <v>12698</v>
      </c>
      <c r="I14" s="6">
        <f>'Table Games'!I13</f>
        <v>35132.5</v>
      </c>
      <c r="J14" s="6">
        <f>Video!E11</f>
        <v>90079.019999999786</v>
      </c>
      <c r="K14" s="6">
        <f>'Table Games'!J13+Video!F11</f>
        <v>42968.2</v>
      </c>
      <c r="L14" s="6">
        <f>'Table Games'!K13+Video!G11</f>
        <v>17070.07</v>
      </c>
      <c r="M14" s="6">
        <f>Video!H11</f>
        <v>4233.71</v>
      </c>
      <c r="N14" s="6">
        <f>'Table Games'!L13+Video!I11</f>
        <v>60939.54</v>
      </c>
    </row>
    <row r="15" spans="1:14" ht="15" customHeight="1" x14ac:dyDescent="0.25">
      <c r="A15" s="10">
        <f t="shared" si="0"/>
        <v>45521</v>
      </c>
      <c r="B15" s="6">
        <f>'Table Games'!B14</f>
        <v>116241</v>
      </c>
      <c r="C15" s="6">
        <f>'Table Games'!C14</f>
        <v>28743</v>
      </c>
      <c r="D15" s="6">
        <f>'Table Games'!D14</f>
        <v>26503.75</v>
      </c>
      <c r="E15" s="6">
        <f>'Table Games'!E14</f>
        <v>0</v>
      </c>
      <c r="F15" s="6">
        <f>'Table Games'!F14</f>
        <v>-18083</v>
      </c>
      <c r="G15" s="6">
        <f>'Table Games'!G14</f>
        <v>150</v>
      </c>
      <c r="H15" s="6">
        <f>'Table Games'!H14</f>
        <v>7216</v>
      </c>
      <c r="I15" s="6">
        <f>'Table Games'!I14</f>
        <v>160770.75</v>
      </c>
      <c r="J15" s="6">
        <f>Video!E12</f>
        <v>29528.020000000019</v>
      </c>
      <c r="K15" s="6">
        <f>'Table Games'!J14+Video!F12</f>
        <v>58861.29</v>
      </c>
      <c r="L15" s="6">
        <f>'Table Games'!K14+Video!G12</f>
        <v>13058.3</v>
      </c>
      <c r="M15" s="6">
        <f>Video!H12</f>
        <v>1387.83</v>
      </c>
      <c r="N15" s="6">
        <f>'Table Games'!L14+Video!I12</f>
        <v>116991.35</v>
      </c>
    </row>
    <row r="16" spans="1:14" ht="15" customHeight="1" x14ac:dyDescent="0.25">
      <c r="A16" s="10">
        <f t="shared" si="0"/>
        <v>45528</v>
      </c>
      <c r="B16" s="6">
        <f>'Table Games'!B15</f>
        <v>246018</v>
      </c>
      <c r="C16" s="6">
        <f>'Table Games'!C15</f>
        <v>2067</v>
      </c>
      <c r="D16" s="6">
        <f>'Table Games'!D15</f>
        <v>1015</v>
      </c>
      <c r="E16" s="6">
        <f>'Table Games'!E15</f>
        <v>0</v>
      </c>
      <c r="F16" s="6">
        <f>'Table Games'!F15</f>
        <v>2770</v>
      </c>
      <c r="G16" s="6">
        <f>'Table Games'!G15</f>
        <v>1050</v>
      </c>
      <c r="H16" s="6">
        <f>'Table Games'!H15</f>
        <v>8858</v>
      </c>
      <c r="I16" s="6">
        <f>'Table Games'!I15</f>
        <v>261778</v>
      </c>
      <c r="J16" s="6">
        <f>Video!E13</f>
        <v>77303.739999999991</v>
      </c>
      <c r="K16" s="6">
        <f>'Table Games'!J15+Video!F13</f>
        <v>106362.73999999999</v>
      </c>
      <c r="L16" s="6">
        <f>'Table Games'!K15+Video!G13</f>
        <v>26230.53</v>
      </c>
      <c r="M16" s="6">
        <f>Video!H13</f>
        <v>3633.27</v>
      </c>
      <c r="N16" s="6">
        <f>'Table Games'!L15+Video!I13</f>
        <v>202855.2</v>
      </c>
    </row>
    <row r="17" spans="1:14" ht="15" customHeight="1" x14ac:dyDescent="0.25">
      <c r="A17" s="10">
        <f t="shared" si="0"/>
        <v>45535</v>
      </c>
      <c r="B17" s="6">
        <f>'Table Games'!B16</f>
        <v>15999.5</v>
      </c>
      <c r="C17" s="6">
        <f>'Table Games'!C16</f>
        <v>-8401</v>
      </c>
      <c r="D17" s="6">
        <f>'Table Games'!D16</f>
        <v>0</v>
      </c>
      <c r="E17" s="6">
        <f>'Table Games'!E16</f>
        <v>0</v>
      </c>
      <c r="F17" s="6">
        <f>'Table Games'!F16</f>
        <v>5446</v>
      </c>
      <c r="G17" s="6">
        <f>'Table Games'!G16</f>
        <v>1098</v>
      </c>
      <c r="H17" s="6">
        <f>'Table Games'!H16</f>
        <v>5782</v>
      </c>
      <c r="I17" s="6">
        <f>'Table Games'!I16</f>
        <v>19924.5</v>
      </c>
      <c r="J17" s="6">
        <f>Video!E14</f>
        <v>48201.400000000023</v>
      </c>
      <c r="K17" s="6">
        <f>'Table Games'!J16+Video!F14</f>
        <v>23329.85</v>
      </c>
      <c r="L17" s="6">
        <f>'Table Games'!K16+Video!G14</f>
        <v>9190.4599999999991</v>
      </c>
      <c r="M17" s="6">
        <f>Video!H14</f>
        <v>2265.4699999999998</v>
      </c>
      <c r="N17" s="6">
        <f>'Table Games'!L16+Video!I14</f>
        <v>33340.119999999995</v>
      </c>
    </row>
    <row r="18" spans="1:14" ht="15" customHeight="1" x14ac:dyDescent="0.25">
      <c r="A18" s="10">
        <f t="shared" si="0"/>
        <v>45542</v>
      </c>
      <c r="B18" s="6">
        <f>'Table Games'!B17</f>
        <v>40906</v>
      </c>
      <c r="C18" s="6">
        <f>'Table Games'!C17</f>
        <v>5066</v>
      </c>
      <c r="D18" s="6">
        <f>'Table Games'!D17</f>
        <v>0</v>
      </c>
      <c r="E18" s="6">
        <f>'Table Games'!E17</f>
        <v>0</v>
      </c>
      <c r="F18" s="6">
        <f>'Table Games'!F17</f>
        <v>5384</v>
      </c>
      <c r="G18" s="6">
        <f>'Table Games'!G17</f>
        <v>0</v>
      </c>
      <c r="H18" s="6">
        <f>'Table Games'!H17</f>
        <v>10655</v>
      </c>
      <c r="I18" s="6">
        <f>'Table Games'!I17</f>
        <v>62011</v>
      </c>
      <c r="J18" s="6">
        <f>Video!E15</f>
        <v>53244.009999999893</v>
      </c>
      <c r="K18" s="6">
        <f>'Table Games'!J17+Video!F15</f>
        <v>37771.160000000003</v>
      </c>
      <c r="L18" s="6">
        <f>'Table Games'!K17+Video!G15</f>
        <v>12152.02</v>
      </c>
      <c r="M18" s="6">
        <f>Video!H15</f>
        <v>2502.4599999999996</v>
      </c>
      <c r="N18" s="6">
        <f>'Table Games'!L17+Video!I15</f>
        <v>62829.37</v>
      </c>
    </row>
    <row r="19" spans="1:14" ht="15" customHeight="1" x14ac:dyDescent="0.25">
      <c r="A19" s="10">
        <f t="shared" si="0"/>
        <v>45549</v>
      </c>
      <c r="B19" s="6">
        <f>'Table Games'!B18</f>
        <v>22408</v>
      </c>
      <c r="C19" s="6">
        <f>'Table Games'!C18</f>
        <v>-1214</v>
      </c>
      <c r="D19" s="6">
        <f>'Table Games'!D18</f>
        <v>0</v>
      </c>
      <c r="E19" s="6">
        <f>'Table Games'!E18</f>
        <v>0</v>
      </c>
      <c r="F19" s="6">
        <f>'Table Games'!F18</f>
        <v>10536</v>
      </c>
      <c r="G19" s="6">
        <f>'Table Games'!G18</f>
        <v>0</v>
      </c>
      <c r="H19" s="6">
        <f>'Table Games'!H18</f>
        <v>2526.9969999999994</v>
      </c>
      <c r="I19" s="6">
        <f>'Table Games'!I18</f>
        <v>34256.997000000003</v>
      </c>
      <c r="J19" s="6">
        <f>Video!E16</f>
        <v>45307.570000000065</v>
      </c>
      <c r="K19" s="6">
        <f>'Table Games'!J18+Video!F16</f>
        <v>26587.809999999998</v>
      </c>
      <c r="L19" s="6">
        <f>'Table Games'!K18+Video!G16</f>
        <v>9415.14</v>
      </c>
      <c r="M19" s="6">
        <f>Video!H16</f>
        <v>2129.4700000000003</v>
      </c>
      <c r="N19" s="6">
        <f>'Table Games'!L18+Video!I16</f>
        <v>41432.149999999994</v>
      </c>
    </row>
    <row r="20" spans="1:14" ht="15" customHeight="1" x14ac:dyDescent="0.25">
      <c r="A20" s="10">
        <f t="shared" si="0"/>
        <v>45556</v>
      </c>
      <c r="B20" s="6">
        <f>'Table Games'!B19</f>
        <v>107344.5</v>
      </c>
      <c r="C20" s="6">
        <f>'Table Games'!C19</f>
        <v>3944</v>
      </c>
      <c r="D20" s="6">
        <f>'Table Games'!D19</f>
        <v>0</v>
      </c>
      <c r="E20" s="6">
        <f>'Table Games'!E19</f>
        <v>0</v>
      </c>
      <c r="F20" s="6">
        <f>'Table Games'!F19</f>
        <v>6086</v>
      </c>
      <c r="G20" s="6">
        <f>'Table Games'!G19</f>
        <v>0</v>
      </c>
      <c r="H20" s="6">
        <f>'Table Games'!H19</f>
        <v>9465</v>
      </c>
      <c r="I20" s="6">
        <f>'Table Games'!I19</f>
        <v>126839.5</v>
      </c>
      <c r="J20" s="6">
        <f>Video!E17</f>
        <v>102598.19999999995</v>
      </c>
      <c r="K20" s="6">
        <f>'Table Games'!J19+Video!F17</f>
        <v>74987.199999999997</v>
      </c>
      <c r="L20" s="6">
        <f>'Table Games'!K19+Video!G17</f>
        <v>23783.679999999997</v>
      </c>
      <c r="M20" s="6">
        <f>Video!H17</f>
        <v>4822.1099999999997</v>
      </c>
      <c r="N20" s="6">
        <f>'Table Games'!L19+Video!I17</f>
        <v>125844.70999999999</v>
      </c>
    </row>
    <row r="21" spans="1:14" ht="15" customHeight="1" x14ac:dyDescent="0.25">
      <c r="A21" s="10">
        <f t="shared" si="0"/>
        <v>45563</v>
      </c>
      <c r="B21" s="6">
        <f>'Table Games'!B20</f>
        <v>14050.5</v>
      </c>
      <c r="C21" s="6">
        <f>'Table Games'!C20</f>
        <v>4560</v>
      </c>
      <c r="D21" s="6">
        <f>'Table Games'!D20</f>
        <v>0</v>
      </c>
      <c r="E21" s="6">
        <f>'Table Games'!E20</f>
        <v>0</v>
      </c>
      <c r="F21" s="6">
        <f>'Table Games'!F20</f>
        <v>12135</v>
      </c>
      <c r="G21" s="6">
        <f>'Table Games'!G20</f>
        <v>0</v>
      </c>
      <c r="H21" s="6">
        <f>'Table Games'!H20</f>
        <v>1065</v>
      </c>
      <c r="I21" s="6">
        <f>'Table Games'!I20</f>
        <v>31810.5</v>
      </c>
      <c r="J21" s="6">
        <f>Video!E18</f>
        <v>18610.589999999967</v>
      </c>
      <c r="K21" s="6">
        <f>'Table Games'!J20+Video!F18</f>
        <v>16242.95</v>
      </c>
      <c r="L21" s="6">
        <f>'Table Games'!K20+Video!G18</f>
        <v>4754.33</v>
      </c>
      <c r="M21" s="6">
        <f>Video!H18</f>
        <v>874.71</v>
      </c>
      <c r="N21" s="6">
        <f>'Table Games'!L20+Video!I18</f>
        <v>28549.100000000002</v>
      </c>
    </row>
    <row r="22" spans="1:14" ht="15" customHeight="1" x14ac:dyDescent="0.25">
      <c r="A22" s="10">
        <f t="shared" si="0"/>
        <v>45570</v>
      </c>
      <c r="B22" s="6">
        <f>'Table Games'!B21</f>
        <v>94564</v>
      </c>
      <c r="C22" s="6">
        <f>'Table Games'!C21</f>
        <v>19440</v>
      </c>
      <c r="D22" s="6">
        <f>'Table Games'!D21</f>
        <v>-7923.75</v>
      </c>
      <c r="E22" s="6">
        <f>'Table Games'!E21</f>
        <v>0</v>
      </c>
      <c r="F22" s="6">
        <f>'Table Games'!F21</f>
        <v>7491</v>
      </c>
      <c r="G22" s="6">
        <f>'Table Games'!G21</f>
        <v>-4210</v>
      </c>
      <c r="H22" s="6">
        <f>'Table Games'!H21</f>
        <v>0</v>
      </c>
      <c r="I22" s="6">
        <f>'Table Games'!I21</f>
        <v>109361.25</v>
      </c>
      <c r="J22" s="6">
        <f>Video!E19</f>
        <v>14912.45000000007</v>
      </c>
      <c r="K22" s="6">
        <f>'Table Games'!J21+Video!F19</f>
        <v>38176.85</v>
      </c>
      <c r="L22" s="6">
        <f>'Table Games'!K21+Video!G19</f>
        <v>8003.18</v>
      </c>
      <c r="M22" s="6">
        <f>Video!H19</f>
        <v>700.89</v>
      </c>
      <c r="N22" s="6">
        <f>'Table Games'!L21+Video!I19</f>
        <v>77392.78</v>
      </c>
    </row>
    <row r="23" spans="1:14" ht="15" customHeight="1" x14ac:dyDescent="0.25">
      <c r="A23" s="10">
        <f t="shared" si="0"/>
        <v>45577</v>
      </c>
      <c r="B23" s="6">
        <f>'Table Games'!B22</f>
        <v>42620.5</v>
      </c>
      <c r="C23" s="6">
        <f>'Table Games'!C22</f>
        <v>-47307</v>
      </c>
      <c r="D23" s="6">
        <f>'Table Games'!D22</f>
        <v>0</v>
      </c>
      <c r="E23" s="6">
        <f>'Table Games'!E22</f>
        <v>0</v>
      </c>
      <c r="F23" s="6">
        <f>'Table Games'!F22</f>
        <v>17634</v>
      </c>
      <c r="G23" s="6">
        <f>'Table Games'!G22</f>
        <v>0</v>
      </c>
      <c r="H23" s="6">
        <f>'Table Games'!H22</f>
        <v>0</v>
      </c>
      <c r="I23" s="6">
        <f>'Table Games'!I22</f>
        <v>12947.5</v>
      </c>
      <c r="J23" s="6">
        <f>Video!E20</f>
        <v>56663.689999999944</v>
      </c>
      <c r="K23" s="6">
        <f>'Table Games'!J22+Video!F20</f>
        <v>24283.170000000002</v>
      </c>
      <c r="L23" s="6">
        <f>'Table Games'!K22+Video!G20</f>
        <v>10280.209999999999</v>
      </c>
      <c r="M23" s="6">
        <f>Video!H20</f>
        <v>2663.19</v>
      </c>
      <c r="N23" s="6">
        <f>'Table Games'!L22+Video!I20</f>
        <v>32384.62</v>
      </c>
    </row>
    <row r="24" spans="1:14" ht="15" customHeight="1" x14ac:dyDescent="0.25">
      <c r="A24" s="10">
        <f t="shared" si="0"/>
        <v>45584</v>
      </c>
      <c r="B24" s="6">
        <f>'Table Games'!B23</f>
        <v>67845.5</v>
      </c>
      <c r="C24" s="6">
        <f>'Table Games'!C23</f>
        <v>9124</v>
      </c>
      <c r="D24" s="6">
        <f>'Table Games'!D23</f>
        <v>0</v>
      </c>
      <c r="E24" s="6">
        <f>'Table Games'!E23</f>
        <v>160</v>
      </c>
      <c r="F24" s="6">
        <f>'Table Games'!F23</f>
        <v>1410</v>
      </c>
      <c r="G24" s="6">
        <f>'Table Games'!G23</f>
        <v>390</v>
      </c>
      <c r="H24" s="6">
        <f>'Table Games'!H23</f>
        <v>0</v>
      </c>
      <c r="I24" s="6">
        <f>'Table Games'!I23</f>
        <v>78929.5</v>
      </c>
      <c r="J24" s="6">
        <f>Video!E21</f>
        <v>28517.380000000121</v>
      </c>
      <c r="K24" s="6">
        <f>'Table Games'!J23+Video!F21</f>
        <v>33945.1</v>
      </c>
      <c r="L24" s="6">
        <f>'Table Games'!K23+Video!G21</f>
        <v>8794.44</v>
      </c>
      <c r="M24" s="6">
        <f>Video!H21</f>
        <v>1340.32</v>
      </c>
      <c r="N24" s="6">
        <f>'Table Games'!L23+Video!I21</f>
        <v>63367.02</v>
      </c>
    </row>
    <row r="25" spans="1:14" ht="15" customHeight="1" x14ac:dyDescent="0.25">
      <c r="A25" s="10">
        <f t="shared" si="0"/>
        <v>45591</v>
      </c>
      <c r="B25" s="6">
        <f>'Table Games'!B24</f>
        <v>40929</v>
      </c>
      <c r="C25" s="6">
        <f>'Table Games'!C24</f>
        <v>7118</v>
      </c>
      <c r="D25" s="6">
        <f>'Table Games'!D24</f>
        <v>0</v>
      </c>
      <c r="E25" s="6">
        <f>'Table Games'!E24</f>
        <v>110</v>
      </c>
      <c r="F25" s="6">
        <f>'Table Games'!F24</f>
        <v>25683</v>
      </c>
      <c r="G25" s="6">
        <f>'Table Games'!G24</f>
        <v>0</v>
      </c>
      <c r="H25" s="6">
        <f>'Table Games'!H24</f>
        <v>0</v>
      </c>
      <c r="I25" s="6">
        <f>'Table Games'!I24</f>
        <v>73840</v>
      </c>
      <c r="J25" s="6">
        <f>Video!E22</f>
        <v>74359.279999999912</v>
      </c>
      <c r="K25" s="6">
        <f>'Table Games'!J24+Video!F22</f>
        <v>48921.35</v>
      </c>
      <c r="L25" s="6">
        <f>'Table Games'!K24+Video!G22</f>
        <v>16333.07</v>
      </c>
      <c r="M25" s="6">
        <f>Video!H22</f>
        <v>3494.89</v>
      </c>
      <c r="N25" s="6">
        <f>'Table Games'!L24+Video!I22</f>
        <v>79449.97</v>
      </c>
    </row>
    <row r="26" spans="1:14" ht="15" customHeight="1" x14ac:dyDescent="0.25">
      <c r="A26" s="10">
        <f t="shared" si="0"/>
        <v>45598</v>
      </c>
      <c r="B26" s="6">
        <f>'Table Games'!B25</f>
        <v>56250.5</v>
      </c>
      <c r="C26" s="6">
        <f>'Table Games'!C25</f>
        <v>2928</v>
      </c>
      <c r="D26" s="6">
        <f>'Table Games'!D25</f>
        <v>0</v>
      </c>
      <c r="E26" s="6">
        <f>'Table Games'!E25</f>
        <v>130</v>
      </c>
      <c r="F26" s="6">
        <f>'Table Games'!F25</f>
        <v>16036</v>
      </c>
      <c r="G26" s="6">
        <f>'Table Games'!G25</f>
        <v>0</v>
      </c>
      <c r="H26" s="6">
        <f>'Table Games'!H25</f>
        <v>0</v>
      </c>
      <c r="I26" s="6">
        <f>'Table Games'!I25</f>
        <v>75344.5</v>
      </c>
      <c r="J26" s="6">
        <f>Video!E23</f>
        <v>126856.93000000017</v>
      </c>
      <c r="K26" s="6">
        <f>'Table Games'!J25+Video!F23</f>
        <v>68271.820000000007</v>
      </c>
      <c r="L26" s="6">
        <f>'Table Games'!K25+Video!G23</f>
        <v>25332.91</v>
      </c>
      <c r="M26" s="6">
        <f>Video!H23</f>
        <v>5962.29</v>
      </c>
      <c r="N26" s="6">
        <f>'Table Games'!L25+Video!I23</f>
        <v>102634.41</v>
      </c>
    </row>
    <row r="27" spans="1:14" ht="15" customHeight="1" x14ac:dyDescent="0.25">
      <c r="A27" s="10">
        <f t="shared" si="0"/>
        <v>45605</v>
      </c>
      <c r="B27" s="6">
        <f>'Table Games'!B26</f>
        <v>103385.5</v>
      </c>
      <c r="C27" s="6">
        <f>'Table Games'!C26</f>
        <v>804</v>
      </c>
      <c r="D27" s="6">
        <f>'Table Games'!D26</f>
        <v>0</v>
      </c>
      <c r="E27" s="6">
        <f>'Table Games'!E26</f>
        <v>100</v>
      </c>
      <c r="F27" s="6">
        <f>'Table Games'!F26</f>
        <v>17437</v>
      </c>
      <c r="G27" s="6">
        <f>'Table Games'!G26</f>
        <v>0</v>
      </c>
      <c r="H27" s="6">
        <f>'Table Games'!H26</f>
        <v>0</v>
      </c>
      <c r="I27" s="6">
        <f>'Table Games'!I26</f>
        <v>121726.5</v>
      </c>
      <c r="J27" s="6">
        <f>Video!E24</f>
        <v>1632.8299999998417</v>
      </c>
      <c r="K27" s="6">
        <f>'Table Games'!J26+Video!F24</f>
        <v>37105.759999999995</v>
      </c>
      <c r="L27" s="6">
        <f>'Table Games'!K26+Video!G24</f>
        <v>6363.92</v>
      </c>
      <c r="M27" s="6">
        <f>Video!H24</f>
        <v>76.739999999999995</v>
      </c>
      <c r="N27" s="6">
        <f>'Table Games'!L26+Video!I24</f>
        <v>79812.91</v>
      </c>
    </row>
    <row r="28" spans="1:14" ht="15" customHeight="1" x14ac:dyDescent="0.25">
      <c r="A28" s="10">
        <f t="shared" si="0"/>
        <v>45612</v>
      </c>
      <c r="B28" s="6">
        <f>'Table Games'!B27</f>
        <v>34983.5</v>
      </c>
      <c r="C28" s="6">
        <f>'Table Games'!C27</f>
        <v>11297</v>
      </c>
      <c r="D28" s="6">
        <f>'Table Games'!D27</f>
        <v>0</v>
      </c>
      <c r="E28" s="6">
        <f>'Table Games'!E27</f>
        <v>130</v>
      </c>
      <c r="F28" s="6">
        <f>'Table Games'!F27</f>
        <v>7392</v>
      </c>
      <c r="G28" s="6">
        <f>'Table Games'!G27</f>
        <v>0</v>
      </c>
      <c r="H28" s="6">
        <f>'Table Games'!H27</f>
        <v>0</v>
      </c>
      <c r="I28" s="6">
        <f>'Table Games'!I27</f>
        <v>53802.5</v>
      </c>
      <c r="J28" s="6">
        <f>Video!E25</f>
        <v>31800.22000000003</v>
      </c>
      <c r="K28" s="6">
        <f>'Table Games'!J27+Video!F25</f>
        <v>27588.83</v>
      </c>
      <c r="L28" s="6">
        <f>'Table Games'!K27+Video!G25</f>
        <v>8096.18</v>
      </c>
      <c r="M28" s="6">
        <f>Video!H25</f>
        <v>1494.61</v>
      </c>
      <c r="N28" s="6">
        <f>'Table Games'!L27+Video!I25</f>
        <v>48423.099999999991</v>
      </c>
    </row>
    <row r="29" spans="1:14" ht="15" customHeight="1" x14ac:dyDescent="0.25">
      <c r="A29" s="10">
        <f t="shared" si="0"/>
        <v>45619</v>
      </c>
      <c r="B29" s="6">
        <f>'Table Games'!B28</f>
        <v>38332.5</v>
      </c>
      <c r="C29" s="6">
        <f>'Table Games'!C28</f>
        <v>17347</v>
      </c>
      <c r="D29" s="6">
        <f>'Table Games'!D28</f>
        <v>0</v>
      </c>
      <c r="E29" s="6">
        <f>'Table Games'!E28</f>
        <v>130</v>
      </c>
      <c r="F29" s="6">
        <f>'Table Games'!F28</f>
        <v>-5202</v>
      </c>
      <c r="G29" s="6">
        <f>'Table Games'!G28</f>
        <v>0</v>
      </c>
      <c r="H29" s="6">
        <f>'Table Games'!H28</f>
        <v>4445</v>
      </c>
      <c r="I29" s="6">
        <f>'Table Games'!I28</f>
        <v>55052.5</v>
      </c>
      <c r="J29" s="6">
        <f>Video!E26</f>
        <v>98391.150000000067</v>
      </c>
      <c r="K29" s="6">
        <f>'Table Games'!J28+Video!F26</f>
        <v>51936.549999999996</v>
      </c>
      <c r="L29" s="6">
        <f>'Table Games'!K28+Video!G26</f>
        <v>19479.13</v>
      </c>
      <c r="M29" s="6">
        <f>Video!H26</f>
        <v>4624.3900000000003</v>
      </c>
      <c r="N29" s="6">
        <f>'Table Games'!L28+Video!I26</f>
        <v>77403.579999999987</v>
      </c>
    </row>
    <row r="30" spans="1:14" ht="15" customHeight="1" x14ac:dyDescent="0.25">
      <c r="A30" s="10">
        <f t="shared" si="0"/>
        <v>45626</v>
      </c>
      <c r="B30" s="6">
        <f>'Table Games'!B29</f>
        <v>-6815.5</v>
      </c>
      <c r="C30" s="6">
        <f>'Table Games'!C29</f>
        <v>-11721</v>
      </c>
      <c r="D30" s="6">
        <f>'Table Games'!D29</f>
        <v>0</v>
      </c>
      <c r="E30" s="6">
        <f>'Table Games'!E29</f>
        <v>90</v>
      </c>
      <c r="F30" s="6">
        <f>'Table Games'!F29</f>
        <v>5060</v>
      </c>
      <c r="G30" s="6">
        <f>'Table Games'!G29</f>
        <v>0</v>
      </c>
      <c r="H30" s="6">
        <f>'Table Games'!H29</f>
        <v>11584</v>
      </c>
      <c r="I30" s="6">
        <f>'Table Games'!I29</f>
        <v>-1802.5</v>
      </c>
      <c r="J30" s="6">
        <f>Video!E27</f>
        <v>37326.399999999907</v>
      </c>
      <c r="K30" s="6">
        <f>'Table Games'!J29+Video!F27</f>
        <v>12896.75</v>
      </c>
      <c r="L30" s="6">
        <f>'Table Games'!K29+Video!G27</f>
        <v>6255.36</v>
      </c>
      <c r="M30" s="6">
        <f>Video!H27</f>
        <v>1754.34</v>
      </c>
      <c r="N30" s="6">
        <f>'Table Games'!L29+Video!I27</f>
        <v>14617.449999999999</v>
      </c>
    </row>
    <row r="31" spans="1:14" ht="15" customHeight="1" x14ac:dyDescent="0.25">
      <c r="A31" s="10">
        <f t="shared" si="0"/>
        <v>45633</v>
      </c>
      <c r="B31" s="6">
        <f>'Table Games'!B30</f>
        <v>39607.5</v>
      </c>
      <c r="C31" s="6">
        <f>'Table Games'!C30</f>
        <v>9668</v>
      </c>
      <c r="D31" s="6">
        <f>'Table Games'!D30</f>
        <v>0</v>
      </c>
      <c r="E31" s="6">
        <f>'Table Games'!E30</f>
        <v>130</v>
      </c>
      <c r="F31" s="6">
        <f>'Table Games'!F30</f>
        <v>6554</v>
      </c>
      <c r="G31" s="6">
        <f>'Table Games'!G30</f>
        <v>0</v>
      </c>
      <c r="H31" s="6">
        <f>'Table Games'!H30</f>
        <v>4066</v>
      </c>
      <c r="I31" s="6">
        <f>'Table Games'!I30</f>
        <v>60025.5</v>
      </c>
      <c r="J31" s="6">
        <f>Video!E28</f>
        <v>66868.430000000051</v>
      </c>
      <c r="K31" s="6">
        <f>'Table Games'!J30+Video!F28</f>
        <v>42080.29</v>
      </c>
      <c r="L31" s="6">
        <f>'Table Games'!K30+Video!G28</f>
        <v>14368.91</v>
      </c>
      <c r="M31" s="6">
        <f>Video!H28</f>
        <v>3142.82</v>
      </c>
      <c r="N31" s="6">
        <f>'Table Games'!L30+Video!I28</f>
        <v>67301.91</v>
      </c>
    </row>
    <row r="32" spans="1:14" ht="15" customHeight="1" x14ac:dyDescent="0.25">
      <c r="A32" s="10">
        <f t="shared" si="0"/>
        <v>45640</v>
      </c>
      <c r="B32" s="6">
        <f>'Table Games'!B31</f>
        <v>-6936.5</v>
      </c>
      <c r="C32" s="6">
        <f>'Table Games'!C31</f>
        <v>28043</v>
      </c>
      <c r="D32" s="6">
        <f>'Table Games'!D31</f>
        <v>0</v>
      </c>
      <c r="E32" s="6">
        <f>'Table Games'!E31</f>
        <v>0</v>
      </c>
      <c r="F32" s="6">
        <f>'Table Games'!F31</f>
        <v>10034</v>
      </c>
      <c r="G32" s="6">
        <f>'Table Games'!G31</f>
        <v>0</v>
      </c>
      <c r="H32" s="6">
        <f>'Table Games'!H31</f>
        <v>2144</v>
      </c>
      <c r="I32" s="6">
        <f>'Table Games'!I31</f>
        <v>33284.5</v>
      </c>
      <c r="J32" s="6">
        <f>Video!E29</f>
        <v>62575.360000000102</v>
      </c>
      <c r="K32" s="6">
        <f>'Table Games'!J31+Video!F29</f>
        <v>32512.47</v>
      </c>
      <c r="L32" s="6">
        <f>'Table Games'!K31+Video!G29</f>
        <v>12302.039999999999</v>
      </c>
      <c r="M32" s="6">
        <f>Video!H29</f>
        <v>2941.04</v>
      </c>
      <c r="N32" s="6">
        <f>'Table Games'!L31+Video!I29</f>
        <v>48104.31</v>
      </c>
    </row>
    <row r="33" spans="1:14" ht="15" customHeight="1" x14ac:dyDescent="0.25">
      <c r="A33" s="10">
        <f t="shared" si="0"/>
        <v>45647</v>
      </c>
      <c r="B33" s="6">
        <f>'Table Games'!B32</f>
        <v>286327</v>
      </c>
      <c r="C33" s="6">
        <f>'Table Games'!C32</f>
        <v>26688</v>
      </c>
      <c r="D33" s="6">
        <f>'Table Games'!D32</f>
        <v>0</v>
      </c>
      <c r="E33" s="6">
        <f>'Table Games'!E32</f>
        <v>0</v>
      </c>
      <c r="F33" s="6">
        <f>'Table Games'!F32</f>
        <v>17707</v>
      </c>
      <c r="G33" s="6">
        <f>'Table Games'!G32</f>
        <v>400</v>
      </c>
      <c r="H33" s="6">
        <f>'Table Games'!H32</f>
        <v>7919</v>
      </c>
      <c r="I33" s="6">
        <f>'Table Games'!I32</f>
        <v>339041</v>
      </c>
      <c r="J33" s="6">
        <f>Video!E30</f>
        <v>97303.979999999981</v>
      </c>
      <c r="K33" s="6">
        <f>'Table Games'!J32+Video!F30</f>
        <v>136741.74</v>
      </c>
      <c r="L33" s="6">
        <f>'Table Games'!K32+Video!G30</f>
        <v>33493.72</v>
      </c>
      <c r="M33" s="6">
        <f>Video!H30</f>
        <v>4573.28</v>
      </c>
      <c r="N33" s="6">
        <f>'Table Games'!L32+Video!I30</f>
        <v>261536.24</v>
      </c>
    </row>
    <row r="34" spans="1:14" ht="15" customHeight="1" x14ac:dyDescent="0.25">
      <c r="A34" s="10">
        <f t="shared" si="0"/>
        <v>45654</v>
      </c>
      <c r="B34" s="6">
        <f>'Table Games'!B33</f>
        <v>126858</v>
      </c>
      <c r="C34" s="6">
        <f>'Table Games'!C33</f>
        <v>27726</v>
      </c>
      <c r="D34" s="6">
        <f>'Table Games'!D33</f>
        <v>0</v>
      </c>
      <c r="E34" s="6">
        <f>'Table Games'!E33</f>
        <v>0</v>
      </c>
      <c r="F34" s="6">
        <f>'Table Games'!F33</f>
        <v>-46849</v>
      </c>
      <c r="G34" s="6">
        <f>'Table Games'!G33</f>
        <v>0</v>
      </c>
      <c r="H34" s="6">
        <f>'Table Games'!H33</f>
        <v>13077</v>
      </c>
      <c r="I34" s="6">
        <f>'Table Games'!I33</f>
        <v>120812</v>
      </c>
      <c r="J34" s="6">
        <f>Video!E31</f>
        <v>62666.679999999935</v>
      </c>
      <c r="K34" s="6">
        <f>'Table Games'!J33+Video!F31</f>
        <v>58803.61</v>
      </c>
      <c r="L34" s="6">
        <f>'Table Games'!K33+Video!G31</f>
        <v>16693.93</v>
      </c>
      <c r="M34" s="6">
        <f>Video!H31</f>
        <v>2945.34</v>
      </c>
      <c r="N34" s="6">
        <f>'Table Games'!L33+Video!I31</f>
        <v>105035.8</v>
      </c>
    </row>
    <row r="35" spans="1:14" ht="15" customHeight="1" x14ac:dyDescent="0.25">
      <c r="A35" s="10">
        <f t="shared" si="0"/>
        <v>45661</v>
      </c>
      <c r="B35" s="6">
        <f>'Table Games'!B34</f>
        <v>131367.5</v>
      </c>
      <c r="C35" s="6">
        <f>'Table Games'!C34</f>
        <v>33238</v>
      </c>
      <c r="D35" s="6">
        <f>'Table Games'!D34</f>
        <v>-17023.75</v>
      </c>
      <c r="E35" s="6">
        <f>'Table Games'!E34</f>
        <v>0</v>
      </c>
      <c r="F35" s="6">
        <f>'Table Games'!F34</f>
        <v>18723</v>
      </c>
      <c r="G35" s="6">
        <f>'Table Games'!G34</f>
        <v>22125</v>
      </c>
      <c r="H35" s="6">
        <f>'Table Games'!H34</f>
        <v>12005</v>
      </c>
      <c r="I35" s="6">
        <f>'Table Games'!I34</f>
        <v>200434.75</v>
      </c>
      <c r="J35" s="6">
        <f>Video!E32</f>
        <v>154952.19000000018</v>
      </c>
      <c r="K35" s="6">
        <f>'Table Games'!J34+Video!F32</f>
        <v>115913.20999999999</v>
      </c>
      <c r="L35" s="6">
        <f>'Table Games'!K34+Video!G32</f>
        <v>36363.599999999999</v>
      </c>
      <c r="M35" s="6">
        <f>Video!H32</f>
        <v>7282.77</v>
      </c>
      <c r="N35" s="6">
        <f>'Table Games'!L34+Video!I32</f>
        <v>195827.36</v>
      </c>
    </row>
    <row r="36" spans="1:14" ht="15" customHeight="1" x14ac:dyDescent="0.25">
      <c r="A36" s="10">
        <f t="shared" si="0"/>
        <v>45668</v>
      </c>
      <c r="B36" s="6">
        <f>'Table Games'!B35</f>
        <v>-4659.5</v>
      </c>
      <c r="C36" s="6">
        <f>'Table Games'!C35</f>
        <v>1111</v>
      </c>
      <c r="D36" s="6">
        <f>'Table Games'!D35</f>
        <v>0</v>
      </c>
      <c r="E36" s="6">
        <f>'Table Games'!E35</f>
        <v>0</v>
      </c>
      <c r="F36" s="6">
        <f>'Table Games'!F35</f>
        <v>-2387</v>
      </c>
      <c r="G36" s="6">
        <f>'Table Games'!G35</f>
        <v>0</v>
      </c>
      <c r="H36" s="6">
        <f>'Table Games'!H35</f>
        <v>1809</v>
      </c>
      <c r="I36" s="6">
        <f>'Table Games'!I35</f>
        <v>-4126.5</v>
      </c>
      <c r="J36" s="6">
        <f>Video!E33</f>
        <v>14963.109999999986</v>
      </c>
      <c r="K36" s="6">
        <f>'Table Games'!J35+Video!F33</f>
        <v>4148.75</v>
      </c>
      <c r="L36" s="6">
        <f>'Table Games'!K35+Video!G33</f>
        <v>2337.39</v>
      </c>
      <c r="M36" s="6">
        <f>Video!H33</f>
        <v>703.27</v>
      </c>
      <c r="N36" s="6">
        <f>'Table Games'!L35+Video!I33</f>
        <v>3647.2000000000003</v>
      </c>
    </row>
    <row r="37" spans="1:14" ht="15" customHeight="1" x14ac:dyDescent="0.25">
      <c r="A37" s="10">
        <f t="shared" si="0"/>
        <v>45675</v>
      </c>
      <c r="B37" s="6">
        <f>'Table Games'!B36</f>
        <v>66680.5</v>
      </c>
      <c r="C37" s="6">
        <f>'Table Games'!C36</f>
        <v>28099</v>
      </c>
      <c r="D37" s="6">
        <f>'Table Games'!D36</f>
        <v>32987.5</v>
      </c>
      <c r="E37" s="6">
        <f>'Table Games'!E36</f>
        <v>0</v>
      </c>
      <c r="F37" s="6">
        <f>'Table Games'!F36</f>
        <v>-5161</v>
      </c>
      <c r="G37" s="6">
        <f>'Table Games'!G36</f>
        <v>0</v>
      </c>
      <c r="H37" s="6">
        <f>'Table Games'!H36</f>
        <v>7489</v>
      </c>
      <c r="I37" s="6">
        <f>'Table Games'!I36</f>
        <v>130095</v>
      </c>
      <c r="J37" s="6">
        <f>Video!E34</f>
        <v>56962.869999999995</v>
      </c>
      <c r="K37" s="6">
        <f>'Table Games'!J36+Video!F34</f>
        <v>59535.14</v>
      </c>
      <c r="L37" s="6">
        <f>'Table Games'!K36+Video!G34</f>
        <v>16188.43</v>
      </c>
      <c r="M37" s="6">
        <f>Video!H34</f>
        <v>2677.26</v>
      </c>
      <c r="N37" s="6">
        <f>'Table Games'!L36+Video!I34</f>
        <v>108657.04000000001</v>
      </c>
    </row>
    <row r="38" spans="1:14" ht="15" customHeight="1" x14ac:dyDescent="0.25">
      <c r="A38" s="10">
        <f t="shared" si="0"/>
        <v>45682</v>
      </c>
      <c r="B38" s="6">
        <f>'Table Games'!B37</f>
        <v>27267</v>
      </c>
      <c r="C38" s="6">
        <f>'Table Games'!C37</f>
        <v>1708</v>
      </c>
      <c r="D38" s="6">
        <f>'Table Games'!D37</f>
        <v>0</v>
      </c>
      <c r="E38" s="6">
        <f>'Table Games'!E37</f>
        <v>0</v>
      </c>
      <c r="F38" s="6">
        <f>'Table Games'!F37</f>
        <v>9237</v>
      </c>
      <c r="G38" s="6">
        <f>'Table Games'!G37</f>
        <v>0</v>
      </c>
      <c r="H38" s="6">
        <f>'Table Games'!H37</f>
        <v>4143</v>
      </c>
      <c r="I38" s="6">
        <f>'Table Games'!I37</f>
        <v>42355</v>
      </c>
      <c r="J38" s="6">
        <f>Video!E35</f>
        <v>103596.91999999993</v>
      </c>
      <c r="K38" s="6">
        <f>'Table Games'!J37+Video!F35</f>
        <v>50001.39</v>
      </c>
      <c r="L38" s="6">
        <f>'Table Games'!K37+Video!G35</f>
        <v>19729.23</v>
      </c>
      <c r="M38" s="6">
        <f>Video!H35</f>
        <v>4869.0600000000004</v>
      </c>
      <c r="N38" s="6">
        <f>'Table Games'!L37+Video!I35</f>
        <v>71352.239999999991</v>
      </c>
    </row>
    <row r="39" spans="1:14" ht="15" customHeight="1" x14ac:dyDescent="0.25">
      <c r="A39" s="10">
        <f t="shared" si="0"/>
        <v>45689</v>
      </c>
      <c r="B39" s="6">
        <f>'Table Games'!B38</f>
        <v>14822</v>
      </c>
      <c r="C39" s="6">
        <f>'Table Games'!C38</f>
        <v>4212</v>
      </c>
      <c r="D39" s="6">
        <f>'Table Games'!D38</f>
        <v>0</v>
      </c>
      <c r="E39" s="6">
        <f>'Table Games'!E38</f>
        <v>0</v>
      </c>
      <c r="F39" s="6">
        <f>'Table Games'!F38</f>
        <v>-1835</v>
      </c>
      <c r="G39" s="6">
        <f>'Table Games'!G38</f>
        <v>0</v>
      </c>
      <c r="H39" s="6">
        <f>'Table Games'!H38</f>
        <v>-502</v>
      </c>
      <c r="I39" s="6">
        <f>'Table Games'!I38</f>
        <v>16697</v>
      </c>
      <c r="J39" s="6">
        <f>Video!E36</f>
        <v>42620.089999999909</v>
      </c>
      <c r="K39" s="6">
        <f>'Table Games'!J38+Video!F36</f>
        <v>20352.36</v>
      </c>
      <c r="L39" s="6">
        <f>'Table Games'!K38+Video!G36</f>
        <v>8080.26</v>
      </c>
      <c r="M39" s="6">
        <f>Video!H36</f>
        <v>2003.13</v>
      </c>
      <c r="N39" s="6">
        <f>'Table Games'!L38+Video!I36</f>
        <v>28881.34</v>
      </c>
    </row>
    <row r="40" spans="1:14" ht="15" customHeight="1" x14ac:dyDescent="0.25">
      <c r="A40" s="10">
        <f t="shared" si="0"/>
        <v>45696</v>
      </c>
      <c r="B40" s="6">
        <f>'Table Games'!B39</f>
        <v>111054.5</v>
      </c>
      <c r="C40" s="6">
        <f>'Table Games'!C39</f>
        <v>-1287</v>
      </c>
      <c r="D40" s="6">
        <f>'Table Games'!D39</f>
        <v>0</v>
      </c>
      <c r="E40" s="6">
        <f>'Table Games'!E39</f>
        <v>0</v>
      </c>
      <c r="F40" s="6">
        <f>'Table Games'!F39</f>
        <v>75</v>
      </c>
      <c r="G40" s="6">
        <f>'Table Games'!G39</f>
        <v>0</v>
      </c>
      <c r="H40" s="6">
        <f>'Table Games'!H39</f>
        <v>1272</v>
      </c>
      <c r="I40" s="6">
        <f>'Table Games'!I39</f>
        <v>111114.5</v>
      </c>
      <c r="J40" s="6">
        <f>Video!E37</f>
        <v>120411.62999999989</v>
      </c>
      <c r="K40" s="6">
        <f>'Table Games'!J39+Video!F37</f>
        <v>76682.52</v>
      </c>
      <c r="L40" s="6">
        <f>'Table Games'!K39+Video!G37</f>
        <v>26025.71</v>
      </c>
      <c r="M40" s="6">
        <f>Video!H37</f>
        <v>5659.35</v>
      </c>
      <c r="N40" s="6">
        <f>'Table Games'!L39+Video!I37</f>
        <v>123158.55</v>
      </c>
    </row>
    <row r="41" spans="1:14" ht="15" customHeight="1" x14ac:dyDescent="0.25">
      <c r="A41" s="10">
        <f t="shared" si="0"/>
        <v>45703</v>
      </c>
      <c r="B41" s="6">
        <f>'Table Games'!B40</f>
        <v>106921</v>
      </c>
      <c r="C41" s="6">
        <f>'Table Games'!C40</f>
        <v>19407</v>
      </c>
      <c r="D41" s="6">
        <f>'Table Games'!D40</f>
        <v>0</v>
      </c>
      <c r="E41" s="6">
        <f>'Table Games'!E40</f>
        <v>0</v>
      </c>
      <c r="F41" s="6">
        <f>'Table Games'!F40</f>
        <v>38782</v>
      </c>
      <c r="G41" s="6">
        <f>'Table Games'!G40</f>
        <v>0</v>
      </c>
      <c r="H41" s="6">
        <f>'Table Games'!H40</f>
        <v>4979</v>
      </c>
      <c r="I41" s="6">
        <f>'Table Games'!I40</f>
        <v>170089</v>
      </c>
      <c r="J41" s="6">
        <f>Video!E38</f>
        <v>-30692.489999999991</v>
      </c>
      <c r="K41" s="6">
        <f>'Table Games'!J40+Video!F38</f>
        <v>39977.409999999996</v>
      </c>
      <c r="L41" s="6">
        <f>'Table Games'!K40+Video!G38</f>
        <v>3286.7200000000003</v>
      </c>
      <c r="M41" s="6">
        <f>Video!H38</f>
        <v>-1442.55</v>
      </c>
      <c r="N41" s="6">
        <f>'Table Games'!L40+Video!I38</f>
        <v>97574.930000000008</v>
      </c>
    </row>
    <row r="42" spans="1:14" ht="15" customHeight="1" x14ac:dyDescent="0.25">
      <c r="A42" s="10">
        <f t="shared" si="0"/>
        <v>45710</v>
      </c>
      <c r="B42" s="6">
        <f>'Table Games'!B41</f>
        <v>155782.5</v>
      </c>
      <c r="C42" s="6">
        <f>'Table Games'!C41</f>
        <v>35064</v>
      </c>
      <c r="D42" s="6">
        <f>'Table Games'!D41</f>
        <v>0</v>
      </c>
      <c r="E42" s="6">
        <f>'Table Games'!E41</f>
        <v>0</v>
      </c>
      <c r="F42" s="6">
        <f>'Table Games'!F41</f>
        <v>19718</v>
      </c>
      <c r="G42" s="6">
        <f>'Table Games'!G41</f>
        <v>0</v>
      </c>
      <c r="H42" s="6">
        <f>'Table Games'!H41</f>
        <v>16665</v>
      </c>
      <c r="I42" s="6">
        <f>'Table Games'!I41</f>
        <v>227229.5</v>
      </c>
      <c r="J42" s="6">
        <f>Video!E39</f>
        <v>35872.790000000037</v>
      </c>
      <c r="K42" s="6">
        <f>'Table Games'!J41+Video!F39</f>
        <v>81083.05</v>
      </c>
      <c r="L42" s="6">
        <f>'Table Games'!K41+Video!G39</f>
        <v>17459.86</v>
      </c>
      <c r="M42" s="6">
        <f>Video!H39</f>
        <v>1686.02</v>
      </c>
      <c r="N42" s="6">
        <f>'Table Games'!L41+Video!I39</f>
        <v>162873.35999999999</v>
      </c>
    </row>
    <row r="43" spans="1:14" ht="15" customHeight="1" x14ac:dyDescent="0.25">
      <c r="A43" s="10">
        <f t="shared" si="0"/>
        <v>45717</v>
      </c>
      <c r="B43" s="6">
        <f>'Table Games'!B42</f>
        <v>41107</v>
      </c>
      <c r="C43" s="6">
        <f>'Table Games'!C42</f>
        <v>-3166</v>
      </c>
      <c r="D43" s="6">
        <f>'Table Games'!D42</f>
        <v>0</v>
      </c>
      <c r="E43" s="6">
        <f>'Table Games'!E42</f>
        <v>0</v>
      </c>
      <c r="F43" s="6">
        <f>'Table Games'!F42</f>
        <v>5599</v>
      </c>
      <c r="G43" s="6">
        <f>'Table Games'!G42</f>
        <v>0</v>
      </c>
      <c r="H43" s="6">
        <f>'Table Games'!H42</f>
        <v>6482</v>
      </c>
      <c r="I43" s="6">
        <f>'Table Games'!I42</f>
        <v>50022</v>
      </c>
      <c r="J43" s="6">
        <f>Video!E40</f>
        <v>88684.90000000014</v>
      </c>
      <c r="K43" s="6">
        <f>'Table Games'!J42+Video!F40</f>
        <v>46933.15</v>
      </c>
      <c r="L43" s="6">
        <f>'Table Games'!K42+Video!G40</f>
        <v>17577.53</v>
      </c>
      <c r="M43" s="6">
        <f>Video!H40</f>
        <v>4168.2</v>
      </c>
      <c r="N43" s="6">
        <f>'Table Games'!L42+Video!I40</f>
        <v>70028.02</v>
      </c>
    </row>
    <row r="44" spans="1:14" ht="15" customHeight="1" x14ac:dyDescent="0.25">
      <c r="A44" s="10">
        <f t="shared" si="0"/>
        <v>45724</v>
      </c>
      <c r="B44" s="6">
        <f>'Table Games'!B43</f>
        <v>-47328</v>
      </c>
      <c r="C44" s="6">
        <f>'Table Games'!C43</f>
        <v>11117</v>
      </c>
      <c r="D44" s="6">
        <f>'Table Games'!D43</f>
        <v>0</v>
      </c>
      <c r="E44" s="6">
        <f>'Table Games'!E43</f>
        <v>0</v>
      </c>
      <c r="F44" s="6">
        <f>'Table Games'!F43</f>
        <v>5457</v>
      </c>
      <c r="G44" s="6">
        <f>'Table Games'!G43</f>
        <v>0</v>
      </c>
      <c r="H44" s="6">
        <f>'Table Games'!H43</f>
        <v>4689</v>
      </c>
      <c r="I44" s="6">
        <f>'Table Games'!I43</f>
        <v>-26065</v>
      </c>
      <c r="J44" s="6">
        <f>Video!E41</f>
        <v>62481.06</v>
      </c>
      <c r="K44" s="6">
        <f>'Table Games'!J43+Video!F41</f>
        <v>14673.7</v>
      </c>
      <c r="L44" s="6">
        <f>'Table Games'!K43+Video!G41</f>
        <v>9318.52</v>
      </c>
      <c r="M44" s="6">
        <f>Video!H41</f>
        <v>2936.6</v>
      </c>
      <c r="N44" s="6">
        <f>'Table Games'!L43+Video!I41</f>
        <v>9487.2400000000016</v>
      </c>
    </row>
    <row r="45" spans="1:14" ht="15" customHeight="1" x14ac:dyDescent="0.25">
      <c r="A45" s="10">
        <f t="shared" si="0"/>
        <v>45731</v>
      </c>
      <c r="B45" s="6">
        <f>'Table Games'!B44</f>
        <v>35075.5</v>
      </c>
      <c r="C45" s="6">
        <f>'Table Games'!C44</f>
        <v>17118</v>
      </c>
      <c r="D45" s="6">
        <f>'Table Games'!D44</f>
        <v>0</v>
      </c>
      <c r="E45" s="6">
        <f>'Table Games'!E44</f>
        <v>0</v>
      </c>
      <c r="F45" s="6">
        <f>'Table Games'!F44</f>
        <v>12875</v>
      </c>
      <c r="G45" s="6">
        <f>'Table Games'!G44</f>
        <v>0</v>
      </c>
      <c r="H45" s="6">
        <f>'Table Games'!H44</f>
        <v>3644</v>
      </c>
      <c r="I45" s="6">
        <f>'Table Games'!I44</f>
        <v>68712.5</v>
      </c>
      <c r="J45" s="6">
        <f>Video!E42</f>
        <v>-55896.70000000007</v>
      </c>
      <c r="K45" s="6">
        <f>'Table Games'!J44+Video!F42</f>
        <v>490.93999999999869</v>
      </c>
      <c r="L45" s="6">
        <f>'Table Games'!K44+Video!G42</f>
        <v>-6066.81</v>
      </c>
      <c r="M45" s="6">
        <f>Video!H42</f>
        <v>-2627.14</v>
      </c>
      <c r="N45" s="6">
        <f>'Table Games'!L44+Video!I42</f>
        <v>21018.809999999998</v>
      </c>
    </row>
    <row r="46" spans="1:14" ht="15" customHeight="1" x14ac:dyDescent="0.25">
      <c r="A46" s="10">
        <f t="shared" si="0"/>
        <v>45738</v>
      </c>
      <c r="B46" s="6">
        <f>'Table Games'!B45</f>
        <v>52840</v>
      </c>
      <c r="C46" s="6">
        <f>'Table Games'!C45</f>
        <v>8356</v>
      </c>
      <c r="D46" s="6">
        <f>'Table Games'!D45</f>
        <v>0</v>
      </c>
      <c r="E46" s="6">
        <f>'Table Games'!E45</f>
        <v>0</v>
      </c>
      <c r="F46" s="6">
        <f>'Table Games'!F45</f>
        <v>6668</v>
      </c>
      <c r="G46" s="6">
        <f>'Table Games'!G45</f>
        <v>0</v>
      </c>
      <c r="H46" s="6">
        <f>'Table Games'!H45</f>
        <v>6347</v>
      </c>
      <c r="I46" s="6">
        <f>'Table Games'!I45</f>
        <v>74211</v>
      </c>
      <c r="J46" s="6">
        <f>Video!E43</f>
        <v>57331.120000000112</v>
      </c>
      <c r="K46" s="6">
        <f>'Table Games'!J45+Video!F43</f>
        <v>42902.509999999995</v>
      </c>
      <c r="L46" s="6">
        <f>'Table Games'!K45+Video!G43</f>
        <v>13456.84</v>
      </c>
      <c r="M46" s="6">
        <f>Video!H43</f>
        <v>2694.56</v>
      </c>
      <c r="N46" s="6">
        <f>'Table Games'!L45+Video!I43</f>
        <v>72488.210000000006</v>
      </c>
    </row>
    <row r="47" spans="1:14" ht="15" customHeight="1" x14ac:dyDescent="0.25">
      <c r="A47" s="10">
        <f t="shared" si="0"/>
        <v>45745</v>
      </c>
      <c r="B47" s="6">
        <f>'Table Games'!B46</f>
        <v>123748</v>
      </c>
      <c r="C47" s="6">
        <f>'Table Games'!C46</f>
        <v>15693</v>
      </c>
      <c r="D47" s="6">
        <f>'Table Games'!D46</f>
        <v>0</v>
      </c>
      <c r="E47" s="6">
        <f>'Table Games'!E46</f>
        <v>0</v>
      </c>
      <c r="F47" s="6">
        <f>'Table Games'!F46</f>
        <v>31772</v>
      </c>
      <c r="G47" s="6">
        <f>'Table Games'!G46</f>
        <v>0</v>
      </c>
      <c r="H47" s="6">
        <f>'Table Games'!H46</f>
        <v>-2364</v>
      </c>
      <c r="I47" s="6">
        <f>'Table Games'!I46</f>
        <v>168849</v>
      </c>
      <c r="J47" s="6">
        <f>Video!E44</f>
        <v>122151.30000000005</v>
      </c>
      <c r="K47" s="6">
        <f>'Table Games'!J46+Video!F44</f>
        <v>94629.16</v>
      </c>
      <c r="L47" s="6">
        <f>'Table Games'!K46+Video!G44</f>
        <v>29208.170000000002</v>
      </c>
      <c r="M47" s="6">
        <f>Video!H44</f>
        <v>5741.11</v>
      </c>
      <c r="N47" s="6">
        <f>'Table Games'!L46+Video!I44</f>
        <v>161421.86000000002</v>
      </c>
    </row>
    <row r="48" spans="1:14" ht="15" customHeight="1" x14ac:dyDescent="0.25">
      <c r="A48" s="10">
        <f t="shared" si="0"/>
        <v>45752</v>
      </c>
      <c r="B48" s="6">
        <f>'Table Games'!B47</f>
        <v>-14649.5</v>
      </c>
      <c r="C48" s="6">
        <f>'Table Games'!C47</f>
        <v>-94</v>
      </c>
      <c r="D48" s="6">
        <f>'Table Games'!D47</f>
        <v>0</v>
      </c>
      <c r="E48" s="6">
        <f>'Table Games'!E47</f>
        <v>0</v>
      </c>
      <c r="F48" s="6">
        <f>'Table Games'!F47</f>
        <v>3096</v>
      </c>
      <c r="G48" s="6">
        <f>'Table Games'!G47</f>
        <v>0</v>
      </c>
      <c r="H48" s="6">
        <f>'Table Games'!H47</f>
        <v>9663</v>
      </c>
      <c r="I48" s="6">
        <f>'Table Games'!I47</f>
        <v>-1984.5</v>
      </c>
      <c r="J48" s="6">
        <f>Video!E45</f>
        <v>98703.239999999932</v>
      </c>
      <c r="K48" s="6">
        <f>'Table Games'!J47+Video!F45</f>
        <v>34937.800000000003</v>
      </c>
      <c r="L48" s="6">
        <f>'Table Games'!K47+Video!G45</f>
        <v>16680.310000000001</v>
      </c>
      <c r="M48" s="6">
        <f>Video!H45</f>
        <v>4639.0700000000006</v>
      </c>
      <c r="N48" s="6">
        <f>'Table Games'!L47+Video!I45</f>
        <v>40461.560000000005</v>
      </c>
    </row>
    <row r="49" spans="1:14" ht="15" customHeight="1" x14ac:dyDescent="0.25">
      <c r="A49" s="10">
        <f t="shared" si="0"/>
        <v>45759</v>
      </c>
      <c r="B49" s="6">
        <f>'Table Games'!B48</f>
        <v>74875.5</v>
      </c>
      <c r="C49" s="6">
        <f>'Table Games'!C48</f>
        <v>-3617</v>
      </c>
      <c r="D49" s="6">
        <f>'Table Games'!D48</f>
        <v>0</v>
      </c>
      <c r="E49" s="6">
        <f>'Table Games'!E48</f>
        <v>0</v>
      </c>
      <c r="F49" s="6">
        <f>'Table Games'!F48</f>
        <v>-5352</v>
      </c>
      <c r="G49" s="6">
        <f>'Table Games'!G48</f>
        <v>0</v>
      </c>
      <c r="H49" s="6">
        <f>'Table Games'!H48</f>
        <v>1466</v>
      </c>
      <c r="I49" s="6">
        <f>'Table Games'!I48</f>
        <v>67372.5</v>
      </c>
      <c r="J49" s="6">
        <f>Video!E46</f>
        <v>-3588.3499999999767</v>
      </c>
      <c r="K49" s="6">
        <f>'Table Games'!J48+Video!F46</f>
        <v>18919.91</v>
      </c>
      <c r="L49" s="6">
        <f>'Table Games'!K48+Video!G46</f>
        <v>2758.63</v>
      </c>
      <c r="M49" s="6">
        <f>Video!H46</f>
        <v>-168.64000000000001</v>
      </c>
      <c r="N49" s="6">
        <f>'Table Games'!L48+Video!I46</f>
        <v>42274.249999999993</v>
      </c>
    </row>
    <row r="50" spans="1:14" ht="15" customHeight="1" x14ac:dyDescent="0.25">
      <c r="A50" s="10">
        <f t="shared" si="0"/>
        <v>45766</v>
      </c>
      <c r="B50" s="6">
        <f>'Table Games'!B49</f>
        <v>155663.5</v>
      </c>
      <c r="C50" s="6">
        <f>'Table Games'!C49</f>
        <v>34956</v>
      </c>
      <c r="D50" s="6">
        <f>'Table Games'!D49</f>
        <v>1977.25</v>
      </c>
      <c r="E50" s="6">
        <f>'Table Games'!E49</f>
        <v>0</v>
      </c>
      <c r="F50" s="6">
        <f>'Table Games'!F49</f>
        <v>12798</v>
      </c>
      <c r="G50" s="6">
        <f>'Table Games'!G49</f>
        <v>0</v>
      </c>
      <c r="H50" s="6">
        <f>'Table Games'!H49</f>
        <v>2284</v>
      </c>
      <c r="I50" s="6">
        <f>'Table Games'!I49</f>
        <v>207678.75</v>
      </c>
      <c r="J50" s="6">
        <f>Video!E47</f>
        <v>68195.410000000033</v>
      </c>
      <c r="K50" s="6">
        <f>'Table Games'!J49+Video!F47</f>
        <v>86853.98</v>
      </c>
      <c r="L50" s="6">
        <f>'Table Games'!K49+Video!G47</f>
        <v>21977.16</v>
      </c>
      <c r="M50" s="6">
        <f>Video!H47</f>
        <v>3205.19</v>
      </c>
      <c r="N50" s="6">
        <f>'Table Games'!L49+Video!I47</f>
        <v>163837.82999999999</v>
      </c>
    </row>
    <row r="51" spans="1:14" ht="15" customHeight="1" x14ac:dyDescent="0.25">
      <c r="A51" s="10">
        <f t="shared" si="0"/>
        <v>45773</v>
      </c>
      <c r="B51" s="6">
        <f>'Table Games'!B50</f>
        <v>60902.5</v>
      </c>
      <c r="C51" s="6">
        <f>'Table Games'!C50</f>
        <v>6239</v>
      </c>
      <c r="D51" s="6">
        <f>'Table Games'!D50</f>
        <v>0</v>
      </c>
      <c r="E51" s="6">
        <f>'Table Games'!E50</f>
        <v>0</v>
      </c>
      <c r="F51" s="6">
        <f>'Table Games'!F50</f>
        <v>6448</v>
      </c>
      <c r="G51" s="6">
        <f>'Table Games'!G50</f>
        <v>0</v>
      </c>
      <c r="H51" s="6">
        <f>'Table Games'!H50</f>
        <v>10491</v>
      </c>
      <c r="I51" s="6">
        <f>'Table Games'!I50</f>
        <v>84080.5</v>
      </c>
      <c r="J51" s="6">
        <f>Video!E48</f>
        <v>46738.919999999925</v>
      </c>
      <c r="K51" s="6">
        <f>'Table Games'!J50+Video!F48</f>
        <v>42050.16</v>
      </c>
      <c r="L51" s="6">
        <f>'Table Games'!K50+Video!G48</f>
        <v>12149.64</v>
      </c>
      <c r="M51" s="6">
        <f>Video!H48</f>
        <v>2196.7400000000002</v>
      </c>
      <c r="N51" s="6">
        <f>'Table Games'!L50+Video!I48</f>
        <v>74422.880000000005</v>
      </c>
    </row>
    <row r="52" spans="1:14" ht="15" customHeight="1" x14ac:dyDescent="0.25">
      <c r="A52" s="10">
        <f t="shared" si="0"/>
        <v>45780</v>
      </c>
      <c r="B52" s="6">
        <f>'Table Games'!B51</f>
        <v>101802</v>
      </c>
      <c r="C52" s="6">
        <f>'Table Games'!C51</f>
        <v>29219</v>
      </c>
      <c r="D52" s="6">
        <f>'Table Games'!D51</f>
        <v>0</v>
      </c>
      <c r="E52" s="6">
        <f>'Table Games'!E51</f>
        <v>0</v>
      </c>
      <c r="F52" s="6">
        <f>'Table Games'!F51</f>
        <v>10890</v>
      </c>
      <c r="G52" s="6">
        <f>'Table Games'!G51</f>
        <v>-525</v>
      </c>
      <c r="H52" s="6">
        <f>'Table Games'!H51</f>
        <v>-1260</v>
      </c>
      <c r="I52" s="6">
        <f>'Table Games'!I51</f>
        <v>140126</v>
      </c>
      <c r="J52" s="6">
        <f>Video!E49</f>
        <v>38319.740000000107</v>
      </c>
      <c r="K52" s="6">
        <f>'Table Games'!J51+Video!F49</f>
        <v>55832.91</v>
      </c>
      <c r="L52" s="6">
        <f>'Table Games'!K51+Video!G49</f>
        <v>13520.66</v>
      </c>
      <c r="M52" s="6">
        <f>Video!H49</f>
        <v>1801.02</v>
      </c>
      <c r="N52" s="6">
        <f>'Table Games'!L51+Video!I49</f>
        <v>107291.15</v>
      </c>
    </row>
    <row r="53" spans="1:14" ht="15" customHeight="1" x14ac:dyDescent="0.25">
      <c r="A53" s="10">
        <f t="shared" si="0"/>
        <v>45787</v>
      </c>
      <c r="B53" s="6">
        <f>'Table Games'!B52</f>
        <v>-26373.5</v>
      </c>
      <c r="C53" s="6">
        <f>'Table Games'!C52</f>
        <v>5402</v>
      </c>
      <c r="D53" s="6">
        <f>'Table Games'!D52</f>
        <v>0</v>
      </c>
      <c r="E53" s="6">
        <f>'Table Games'!E52</f>
        <v>0</v>
      </c>
      <c r="F53" s="6">
        <f>'Table Games'!F52</f>
        <v>-2749</v>
      </c>
      <c r="G53" s="6">
        <f>'Table Games'!G52</f>
        <v>0</v>
      </c>
      <c r="H53" s="6">
        <f>'Table Games'!H52</f>
        <v>1463</v>
      </c>
      <c r="I53" s="6">
        <f>'Table Games'!I52</f>
        <v>-22257.5</v>
      </c>
      <c r="J53" s="6">
        <f>Video!E50</f>
        <v>-176761.84000000008</v>
      </c>
      <c r="K53" s="6">
        <f>'Table Games'!J52+Video!F50</f>
        <v>-70311.540000000008</v>
      </c>
      <c r="L53" s="6">
        <f>'Table Games'!K52+Video!G50</f>
        <v>-31162.38</v>
      </c>
      <c r="M53" s="6">
        <f>Video!H50</f>
        <v>-8307.7999999999993</v>
      </c>
      <c r="N53" s="6">
        <f>'Table Games'!L52+Video!I50</f>
        <v>-89237.62</v>
      </c>
    </row>
    <row r="54" spans="1:14" ht="15" customHeight="1" x14ac:dyDescent="0.25">
      <c r="A54" s="10">
        <f t="shared" si="0"/>
        <v>45794</v>
      </c>
      <c r="B54" s="6">
        <f>'Table Games'!B53</f>
        <v>64586.5</v>
      </c>
      <c r="C54" s="6">
        <f>'Table Games'!C53</f>
        <v>17767</v>
      </c>
      <c r="D54" s="6">
        <f>'Table Games'!D53</f>
        <v>0</v>
      </c>
      <c r="E54" s="6">
        <f>'Table Games'!E53</f>
        <v>0</v>
      </c>
      <c r="F54" s="6">
        <f>'Table Games'!F53</f>
        <v>4656</v>
      </c>
      <c r="G54" s="6">
        <f>'Table Games'!G53</f>
        <v>0</v>
      </c>
      <c r="H54" s="6">
        <f>'Table Games'!H53</f>
        <v>656</v>
      </c>
      <c r="I54" s="6">
        <f>'Table Games'!I53</f>
        <v>87665.5</v>
      </c>
      <c r="J54" s="6">
        <f>Video!E51</f>
        <v>28259.979999999981</v>
      </c>
      <c r="K54" s="6">
        <f>'Table Games'!J53+Video!F51</f>
        <v>36473.230000000003</v>
      </c>
      <c r="L54" s="6">
        <f>'Table Games'!K53+Video!G51</f>
        <v>9187.48</v>
      </c>
      <c r="M54" s="6">
        <f>Video!H51</f>
        <v>1328.22</v>
      </c>
      <c r="N54" s="6">
        <f>'Table Games'!L53+Video!I51</f>
        <v>68936.55</v>
      </c>
    </row>
    <row r="55" spans="1:14" ht="15" customHeight="1" x14ac:dyDescent="0.25">
      <c r="A55" s="10">
        <f t="shared" si="0"/>
        <v>45801</v>
      </c>
      <c r="B55" s="6">
        <f>'Table Games'!B54</f>
        <v>75428</v>
      </c>
      <c r="C55" s="6">
        <f>'Table Games'!C54</f>
        <v>12304</v>
      </c>
      <c r="D55" s="6">
        <f>'Table Games'!D54</f>
        <v>0</v>
      </c>
      <c r="E55" s="6">
        <f>'Table Games'!E54</f>
        <v>0</v>
      </c>
      <c r="F55" s="6">
        <f>'Table Games'!F54</f>
        <v>11336</v>
      </c>
      <c r="G55" s="6">
        <f>'Table Games'!G54</f>
        <v>0</v>
      </c>
      <c r="H55" s="6">
        <f>'Table Games'!H54</f>
        <v>6739</v>
      </c>
      <c r="I55" s="6">
        <f>'Table Games'!I54</f>
        <v>105807</v>
      </c>
      <c r="J55" s="6">
        <f>Video!E52</f>
        <v>17634.270000000019</v>
      </c>
      <c r="K55" s="6">
        <f>'Table Games'!J54+Video!F52</f>
        <v>38090.42</v>
      </c>
      <c r="L55" s="6">
        <f>'Table Games'!K54+Video!G52</f>
        <v>8288.18</v>
      </c>
      <c r="M55" s="6">
        <f>Video!H52</f>
        <v>828.81999999999994</v>
      </c>
      <c r="N55" s="6">
        <f>'Table Games'!L54+Video!I52</f>
        <v>76233.850000000006</v>
      </c>
    </row>
    <row r="56" spans="1:14" ht="15" customHeight="1" x14ac:dyDescent="0.25">
      <c r="A56" s="10">
        <f t="shared" si="0"/>
        <v>45808</v>
      </c>
      <c r="B56" s="6">
        <f>'Table Games'!B55</f>
        <v>125192</v>
      </c>
      <c r="C56" s="6">
        <f>'Table Games'!C55</f>
        <v>-11542</v>
      </c>
      <c r="D56" s="6">
        <f>'Table Games'!D55</f>
        <v>0</v>
      </c>
      <c r="E56" s="6">
        <f>'Table Games'!E55</f>
        <v>0</v>
      </c>
      <c r="F56" s="6">
        <f>'Table Games'!F55</f>
        <v>7510</v>
      </c>
      <c r="G56" s="6">
        <f>'Table Games'!G55</f>
        <v>0</v>
      </c>
      <c r="H56" s="6">
        <f>'Table Games'!H55</f>
        <v>1688</v>
      </c>
      <c r="I56" s="6">
        <f>'Table Games'!I55</f>
        <v>122848</v>
      </c>
      <c r="J56" s="6">
        <f>Video!E53</f>
        <v>62175.909999999916</v>
      </c>
      <c r="K56" s="6">
        <f>'Table Games'!J55+Video!F53</f>
        <v>59237.72</v>
      </c>
      <c r="L56" s="6">
        <f>'Table Games'!K55+Video!G53</f>
        <v>16712.309999999998</v>
      </c>
      <c r="M56" s="6">
        <f>Video!H53</f>
        <v>2922.27</v>
      </c>
      <c r="N56" s="6">
        <f>'Table Games'!L55+Video!I53</f>
        <v>106151.61</v>
      </c>
    </row>
    <row r="57" spans="1:14" ht="15" customHeight="1" x14ac:dyDescent="0.25">
      <c r="A57" s="10">
        <f t="shared" si="0"/>
        <v>45815</v>
      </c>
      <c r="B57" s="6">
        <f>'Table Games'!B56</f>
        <v>86377</v>
      </c>
      <c r="C57" s="6">
        <f>'Table Games'!C56</f>
        <v>16447</v>
      </c>
      <c r="D57" s="6">
        <f>'Table Games'!D56</f>
        <v>8710</v>
      </c>
      <c r="E57" s="6">
        <f>'Table Games'!E56</f>
        <v>0</v>
      </c>
      <c r="F57" s="6">
        <f>'Table Games'!F56</f>
        <v>4919</v>
      </c>
      <c r="G57" s="6">
        <f>'Table Games'!G56</f>
        <v>0</v>
      </c>
      <c r="H57" s="6">
        <f>'Table Games'!H56</f>
        <v>3241</v>
      </c>
      <c r="I57" s="6">
        <f>'Table Games'!I56</f>
        <v>119694</v>
      </c>
      <c r="J57" s="6">
        <f>Video!E54</f>
        <v>19567.620000000112</v>
      </c>
      <c r="K57" s="6">
        <f>'Table Games'!J56+Video!F54</f>
        <v>42952.53</v>
      </c>
      <c r="L57" s="6">
        <f>'Table Games'!K56+Video!G54</f>
        <v>9311.2000000000007</v>
      </c>
      <c r="M57" s="6">
        <f>Video!H54</f>
        <v>919.68</v>
      </c>
      <c r="N57" s="6">
        <f>'Table Games'!L56+Video!I54</f>
        <v>86078.21</v>
      </c>
    </row>
    <row r="58" spans="1:14" ht="15" customHeight="1" x14ac:dyDescent="0.25">
      <c r="A58" s="10">
        <f t="shared" si="0"/>
        <v>45822</v>
      </c>
      <c r="B58" s="6">
        <f>'Table Games'!B57</f>
        <v>124294.5</v>
      </c>
      <c r="C58" s="6">
        <f>'Table Games'!C57</f>
        <v>4117</v>
      </c>
      <c r="D58" s="6">
        <f>'Table Games'!D57</f>
        <v>-6713.5</v>
      </c>
      <c r="E58" s="6">
        <f>'Table Games'!E57</f>
        <v>0</v>
      </c>
      <c r="F58" s="6">
        <f>'Table Games'!F57</f>
        <v>5400</v>
      </c>
      <c r="G58" s="6">
        <f>'Table Games'!G57</f>
        <v>0</v>
      </c>
      <c r="H58" s="6">
        <f>'Table Games'!H57</f>
        <v>-820</v>
      </c>
      <c r="I58" s="6">
        <f>'Table Games'!I57</f>
        <v>126278</v>
      </c>
      <c r="J58" s="6">
        <f>Video!E55</f>
        <v>-31040.940000000061</v>
      </c>
      <c r="K58" s="6">
        <f>'Table Games'!J57+Video!F55</f>
        <v>26708.63</v>
      </c>
      <c r="L58" s="6">
        <f>'Table Games'!K57+Video!G55</f>
        <v>1036.9499999999998</v>
      </c>
      <c r="M58" s="6">
        <f>Video!H55</f>
        <v>-1458.92</v>
      </c>
      <c r="N58" s="6">
        <f>'Table Games'!L57+Video!I55</f>
        <v>68950.399999999994</v>
      </c>
    </row>
    <row r="59" spans="1:14" ht="15" customHeight="1" x14ac:dyDescent="0.25">
      <c r="A59" s="10">
        <f t="shared" si="0"/>
        <v>45829</v>
      </c>
      <c r="B59" s="6">
        <f>'Table Games'!B58</f>
        <v>80504.5</v>
      </c>
      <c r="C59" s="6">
        <f>'Table Games'!C58</f>
        <v>11964</v>
      </c>
      <c r="D59" s="6">
        <f>'Table Games'!D58</f>
        <v>13625</v>
      </c>
      <c r="E59" s="6">
        <f>'Table Games'!E58</f>
        <v>0</v>
      </c>
      <c r="F59" s="6">
        <f>'Table Games'!F58</f>
        <v>888</v>
      </c>
      <c r="G59" s="6">
        <f>'Table Games'!G58</f>
        <v>0</v>
      </c>
      <c r="H59" s="6">
        <f>'Table Games'!H58</f>
        <v>1267</v>
      </c>
      <c r="I59" s="6">
        <f>'Table Games'!I58</f>
        <v>108248.5</v>
      </c>
      <c r="J59" s="6">
        <f>Video!E56</f>
        <v>10636.04999999993</v>
      </c>
      <c r="K59" s="6">
        <f>'Table Games'!J58+Video!F56</f>
        <v>36303.54</v>
      </c>
      <c r="L59" s="6">
        <f>'Table Games'!K58+Video!G56</f>
        <v>7220.56</v>
      </c>
      <c r="M59" s="6">
        <f>Video!H56</f>
        <v>499.89</v>
      </c>
      <c r="N59" s="6">
        <f>'Table Games'!L58+Video!I56</f>
        <v>74860.56</v>
      </c>
    </row>
    <row r="60" spans="1:14" ht="15" customHeight="1" x14ac:dyDescent="0.25">
      <c r="A60" s="10">
        <f t="shared" si="0"/>
        <v>45836</v>
      </c>
      <c r="B60" s="6">
        <f>'Table Games'!B59</f>
        <v>124762</v>
      </c>
      <c r="C60" s="6">
        <f>'Table Games'!C59</f>
        <v>38773</v>
      </c>
      <c r="D60" s="6">
        <f>'Table Games'!D59</f>
        <v>0</v>
      </c>
      <c r="E60" s="6">
        <f>'Table Games'!E59</f>
        <v>0</v>
      </c>
      <c r="F60" s="6">
        <f>'Table Games'!F59</f>
        <v>3869</v>
      </c>
      <c r="G60" s="6">
        <f>'Table Games'!G59</f>
        <v>0</v>
      </c>
      <c r="H60" s="6">
        <f>'Table Games'!H59</f>
        <v>4705</v>
      </c>
      <c r="I60" s="6">
        <f>'Table Games'!I59</f>
        <v>172109</v>
      </c>
      <c r="J60" s="6">
        <f>Video!E57</f>
        <v>9905.6800000000512</v>
      </c>
      <c r="K60" s="6">
        <f>'Table Games'!J59+Video!F57</f>
        <v>55198.75</v>
      </c>
      <c r="L60" s="6">
        <f>'Table Games'!K59+Video!G57</f>
        <v>10289.41</v>
      </c>
      <c r="M60" s="6">
        <f>Video!H57</f>
        <v>465.57</v>
      </c>
      <c r="N60" s="6">
        <f>'Table Games'!L59+Video!I57</f>
        <v>116060.95000000001</v>
      </c>
    </row>
    <row r="61" spans="1:14" ht="15" customHeight="1" x14ac:dyDescent="0.25">
      <c r="A61" s="17" t="s">
        <v>36</v>
      </c>
      <c r="B61" s="6">
        <f>'Table Games'!B60</f>
        <v>32864.5</v>
      </c>
      <c r="C61" s="6">
        <f>'Table Games'!C60</f>
        <v>-24823</v>
      </c>
      <c r="D61" s="6">
        <f>'Table Games'!D60</f>
        <v>0</v>
      </c>
      <c r="E61" s="6">
        <f>'Table Games'!E60</f>
        <v>0</v>
      </c>
      <c r="F61" s="6">
        <f>'Table Games'!F60</f>
        <v>1423</v>
      </c>
      <c r="G61" s="6">
        <f>'Table Games'!G60</f>
        <v>0</v>
      </c>
      <c r="H61" s="6">
        <f>'Table Games'!H60</f>
        <v>1190</v>
      </c>
      <c r="I61" s="6">
        <f>'Table Games'!I60</f>
        <v>10654.5</v>
      </c>
      <c r="J61" s="6">
        <f>Video!E58</f>
        <v>26651.050000000003</v>
      </c>
      <c r="K61" s="6">
        <f>'Table Games'!J60+Video!F58</f>
        <v>12790.73</v>
      </c>
      <c r="L61" s="6">
        <f>'Table Games'!K60+Video!G58</f>
        <v>5063.41</v>
      </c>
      <c r="M61" s="6">
        <f>Video!H58</f>
        <v>1252.5999999999999</v>
      </c>
      <c r="N61" s="6">
        <f>'Table Games'!L60+Video!I58</f>
        <v>18198.72</v>
      </c>
    </row>
    <row r="62" spans="1:14" ht="15" customHeight="1" x14ac:dyDescent="0.25">
      <c r="A62" s="10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ht="15" customHeight="1" thickBot="1" x14ac:dyDescent="0.3">
      <c r="B63" s="7">
        <f t="shared" ref="B63:N63" si="1">SUM(B9:B62)</f>
        <v>3696135.5</v>
      </c>
      <c r="C63" s="7">
        <f t="shared" si="1"/>
        <v>490109</v>
      </c>
      <c r="D63" s="7">
        <f t="shared" si="1"/>
        <v>49623.75</v>
      </c>
      <c r="E63" s="7">
        <f t="shared" si="1"/>
        <v>980</v>
      </c>
      <c r="F63" s="7">
        <f t="shared" si="1"/>
        <v>378755</v>
      </c>
      <c r="G63" s="7">
        <f t="shared" si="1"/>
        <v>5008</v>
      </c>
      <c r="H63" s="7">
        <f t="shared" si="1"/>
        <v>252785.997</v>
      </c>
      <c r="I63" s="7">
        <f t="shared" si="1"/>
        <v>4873397.2469999995</v>
      </c>
      <c r="J63" s="7">
        <f t="shared" si="1"/>
        <v>2514367.3200000003</v>
      </c>
      <c r="K63" s="7">
        <f t="shared" si="1"/>
        <v>2367191.1799999992</v>
      </c>
      <c r="L63" s="7">
        <f t="shared" si="1"/>
        <v>671112.40999999992</v>
      </c>
      <c r="M63" s="7">
        <f t="shared" si="1"/>
        <v>118175.39000000004</v>
      </c>
      <c r="N63" s="7">
        <f t="shared" si="1"/>
        <v>4231285.4999999991</v>
      </c>
    </row>
    <row r="64" spans="1:14" ht="15" customHeight="1" thickTop="1" x14ac:dyDescent="0.25"/>
    <row r="65" spans="1:1" ht="15" customHeight="1" x14ac:dyDescent="0.25">
      <c r="A65" s="15" t="s">
        <v>31</v>
      </c>
    </row>
    <row r="66" spans="1:1" ht="15" customHeight="1" x14ac:dyDescent="0.25">
      <c r="A66" s="16" t="s">
        <v>37</v>
      </c>
    </row>
  </sheetData>
  <mergeCells count="4">
    <mergeCell ref="A1:N1"/>
    <mergeCell ref="A2:N2"/>
    <mergeCell ref="A4:N4"/>
    <mergeCell ref="A3:N3"/>
  </mergeCells>
  <pageMargins left="0.25" right="0.25" top="0.5" bottom="0.5" header="0" footer="0"/>
  <pageSetup scale="67" orientation="landscape" r:id="rId1"/>
  <headerFooter>
    <oddFooter>&amp;L&amp;"Arial,Regular"&amp;8&amp;F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5"/>
  <sheetViews>
    <sheetView zoomScaleNormal="100" workbookViewId="0">
      <pane ySplit="5" topLeftCell="A40" activePane="bottomLeft" state="frozen"/>
      <selection pane="bottomLeft" activeCell="L60" sqref="L60"/>
    </sheetView>
  </sheetViews>
  <sheetFormatPr defaultRowHeight="15" customHeight="1" x14ac:dyDescent="0.25"/>
  <cols>
    <col min="1" max="1" width="12.7109375" customWidth="1"/>
    <col min="2" max="2" width="15" bestFit="1" customWidth="1"/>
    <col min="3" max="3" width="13.28515625" bestFit="1" customWidth="1"/>
    <col min="4" max="4" width="14.85546875" customWidth="1"/>
    <col min="5" max="5" width="13.42578125" bestFit="1" customWidth="1"/>
    <col min="6" max="6" width="14.7109375" customWidth="1"/>
    <col min="7" max="7" width="14.28515625" bestFit="1" customWidth="1"/>
    <col min="8" max="8" width="13.28515625" bestFit="1" customWidth="1"/>
    <col min="9" max="10" width="15" bestFit="1" customWidth="1"/>
    <col min="11" max="11" width="14.28515625" bestFit="1" customWidth="1"/>
    <col min="12" max="12" width="15" bestFit="1" customWidth="1"/>
    <col min="13" max="13" width="10.7109375" customWidth="1"/>
  </cols>
  <sheetData>
    <row r="1" spans="1:12" s="1" customFormat="1" ht="60" x14ac:dyDescent="0.25">
      <c r="B1" s="2" t="s">
        <v>26</v>
      </c>
      <c r="C1" s="3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</row>
    <row r="2" spans="1:12" s="1" customFormat="1" ht="15" customHeight="1" x14ac:dyDescent="0.25">
      <c r="B2" s="4">
        <v>26</v>
      </c>
      <c r="C2" s="9">
        <v>2</v>
      </c>
      <c r="D2" s="4">
        <v>1</v>
      </c>
      <c r="E2" s="4"/>
      <c r="F2" s="4">
        <v>2</v>
      </c>
      <c r="G2" s="4">
        <v>1</v>
      </c>
      <c r="H2" s="4">
        <v>1</v>
      </c>
      <c r="I2" s="4">
        <f>SUM(B2:H2)</f>
        <v>33</v>
      </c>
      <c r="J2" s="5"/>
      <c r="K2" s="5"/>
      <c r="L2" s="5"/>
    </row>
    <row r="3" spans="1:12" s="1" customFormat="1" ht="15" customHeight="1" x14ac:dyDescent="0.25">
      <c r="B3" s="5"/>
      <c r="D3" s="5"/>
      <c r="E3" s="5"/>
      <c r="F3" s="5"/>
      <c r="G3" s="5"/>
      <c r="H3" s="5"/>
      <c r="I3" s="5"/>
      <c r="J3" s="5"/>
      <c r="K3" s="5"/>
      <c r="L3" s="5"/>
    </row>
    <row r="4" spans="1:12" ht="15" customHeight="1" x14ac:dyDescent="0.25">
      <c r="A4" t="s">
        <v>33</v>
      </c>
      <c r="B4" s="14">
        <v>4331221.9969999995</v>
      </c>
      <c r="C4" s="14">
        <v>735138</v>
      </c>
      <c r="D4" s="14">
        <v>6904.25</v>
      </c>
      <c r="E4" s="14">
        <v>2095</v>
      </c>
      <c r="F4" s="14">
        <v>535505</v>
      </c>
      <c r="G4" s="14">
        <v>9561</v>
      </c>
      <c r="H4" s="14">
        <v>436137</v>
      </c>
      <c r="I4" s="14">
        <v>6056562.2470000004</v>
      </c>
      <c r="J4" s="14">
        <v>1816968.6800000009</v>
      </c>
      <c r="K4" s="14">
        <v>302828.21999999997</v>
      </c>
      <c r="L4" s="14">
        <v>3936765.3499999996</v>
      </c>
    </row>
    <row r="6" spans="1:12" ht="15" customHeight="1" x14ac:dyDescent="0.25">
      <c r="A6" s="20" t="s">
        <v>32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ht="15" customHeight="1" x14ac:dyDescent="0.25">
      <c r="A7" s="10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5" customHeight="1" x14ac:dyDescent="0.25">
      <c r="A8" s="10" t="s">
        <v>30</v>
      </c>
      <c r="B8" s="6">
        <v>133739.5</v>
      </c>
      <c r="C8" s="6">
        <v>6326</v>
      </c>
      <c r="D8" s="6">
        <v>0</v>
      </c>
      <c r="E8" s="6">
        <v>0</v>
      </c>
      <c r="F8" s="6">
        <v>15961</v>
      </c>
      <c r="G8" s="6">
        <v>-15470</v>
      </c>
      <c r="H8" s="6">
        <v>27597</v>
      </c>
      <c r="I8" s="6">
        <f t="shared" ref="I8" si="0">SUM(B8:H8)</f>
        <v>168153.5</v>
      </c>
      <c r="J8" s="6">
        <f t="shared" ref="J8:J10" si="1">ROUND($I8*0.3,2)</f>
        <v>50446.05</v>
      </c>
      <c r="K8" s="6">
        <f t="shared" ref="K8:K37" si="2">ROUND($I8*0.05,2)</f>
        <v>8407.68</v>
      </c>
      <c r="L8" s="6">
        <f>ROUND($I8*0.65,2)-0.01</f>
        <v>109299.77</v>
      </c>
    </row>
    <row r="9" spans="1:12" ht="15" customHeight="1" x14ac:dyDescent="0.25">
      <c r="A9" s="10">
        <v>45486</v>
      </c>
      <c r="B9" s="6">
        <v>85973</v>
      </c>
      <c r="C9" s="6">
        <v>24977</v>
      </c>
      <c r="D9" s="6">
        <v>0</v>
      </c>
      <c r="E9" s="6">
        <v>0</v>
      </c>
      <c r="F9" s="6">
        <v>5024</v>
      </c>
      <c r="G9" s="6">
        <v>0</v>
      </c>
      <c r="H9" s="6">
        <v>3040</v>
      </c>
      <c r="I9" s="6">
        <f t="shared" ref="I9" si="3">SUM(B9:H9)</f>
        <v>119014</v>
      </c>
      <c r="J9" s="6">
        <f t="shared" si="1"/>
        <v>35704.199999999997</v>
      </c>
      <c r="K9" s="6">
        <f t="shared" si="2"/>
        <v>5950.7</v>
      </c>
      <c r="L9" s="6">
        <f>ROUND($I9*0.65,2)</f>
        <v>77359.100000000006</v>
      </c>
    </row>
    <row r="10" spans="1:12" ht="15" customHeight="1" x14ac:dyDescent="0.25">
      <c r="A10" s="10">
        <f t="shared" ref="A10:A59" si="4">A9+7</f>
        <v>45493</v>
      </c>
      <c r="B10" s="6">
        <v>77511.5</v>
      </c>
      <c r="C10" s="6">
        <v>-13636</v>
      </c>
      <c r="D10" s="6">
        <v>-3533.75</v>
      </c>
      <c r="E10" s="6">
        <v>0</v>
      </c>
      <c r="F10" s="6">
        <v>4808</v>
      </c>
      <c r="G10" s="6">
        <v>0</v>
      </c>
      <c r="H10" s="6">
        <v>13014</v>
      </c>
      <c r="I10" s="6">
        <f t="shared" ref="I10" si="5">SUM(B10:H10)</f>
        <v>78163.75</v>
      </c>
      <c r="J10" s="6">
        <f t="shared" si="1"/>
        <v>23449.13</v>
      </c>
      <c r="K10" s="6">
        <f t="shared" si="2"/>
        <v>3908.19</v>
      </c>
      <c r="L10" s="6">
        <f>ROUND($I10*0.65,2)-0.01</f>
        <v>50806.43</v>
      </c>
    </row>
    <row r="11" spans="1:12" ht="15" customHeight="1" x14ac:dyDescent="0.25">
      <c r="A11" s="10">
        <f t="shared" si="4"/>
        <v>45500</v>
      </c>
      <c r="B11" s="6">
        <v>110577.5</v>
      </c>
      <c r="C11" s="6">
        <v>11675</v>
      </c>
      <c r="D11" s="6">
        <v>0</v>
      </c>
      <c r="E11" s="6">
        <v>0</v>
      </c>
      <c r="F11" s="6">
        <v>15493</v>
      </c>
      <c r="G11" s="6">
        <v>0</v>
      </c>
      <c r="H11" s="6">
        <v>-471</v>
      </c>
      <c r="I11" s="6">
        <f t="shared" ref="I11" si="6">SUM(B11:H11)</f>
        <v>137274.5</v>
      </c>
      <c r="J11" s="6">
        <f t="shared" ref="J11:J59" si="7">ROUND($I11*0.3,2)</f>
        <v>41182.35</v>
      </c>
      <c r="K11" s="6">
        <f t="shared" si="2"/>
        <v>6863.73</v>
      </c>
      <c r="L11" s="6">
        <f>ROUND($I11*0.65,2)-0.01</f>
        <v>89228.42</v>
      </c>
    </row>
    <row r="12" spans="1:12" ht="15" customHeight="1" x14ac:dyDescent="0.25">
      <c r="A12" s="10">
        <f t="shared" si="4"/>
        <v>45507</v>
      </c>
      <c r="B12" s="6">
        <v>-70487</v>
      </c>
      <c r="C12" s="6">
        <v>8075</v>
      </c>
      <c r="D12" s="6">
        <v>0</v>
      </c>
      <c r="E12" s="6">
        <v>0</v>
      </c>
      <c r="F12" s="6">
        <v>11703</v>
      </c>
      <c r="G12" s="6">
        <v>0</v>
      </c>
      <c r="H12" s="6">
        <v>-1326</v>
      </c>
      <c r="I12" s="6">
        <f t="shared" ref="I12" si="8">SUM(B12:H12)</f>
        <v>-52035</v>
      </c>
      <c r="J12" s="6">
        <f t="shared" si="7"/>
        <v>-15610.5</v>
      </c>
      <c r="K12" s="6">
        <f t="shared" si="2"/>
        <v>-2601.75</v>
      </c>
      <c r="L12" s="6">
        <f>ROUND($I12*0.65,2)</f>
        <v>-33822.75</v>
      </c>
    </row>
    <row r="13" spans="1:12" ht="15" customHeight="1" x14ac:dyDescent="0.25">
      <c r="A13" s="10">
        <f t="shared" si="4"/>
        <v>45514</v>
      </c>
      <c r="B13" s="6">
        <v>-3005.5</v>
      </c>
      <c r="C13" s="6">
        <v>8990</v>
      </c>
      <c r="D13" s="6">
        <v>0</v>
      </c>
      <c r="E13" s="6">
        <v>0</v>
      </c>
      <c r="F13" s="6">
        <v>16450</v>
      </c>
      <c r="G13" s="6">
        <v>0</v>
      </c>
      <c r="H13" s="6">
        <v>12698</v>
      </c>
      <c r="I13" s="6">
        <f t="shared" ref="I13" si="9">SUM(B13:H13)</f>
        <v>35132.5</v>
      </c>
      <c r="J13" s="6">
        <f t="shared" si="7"/>
        <v>10539.75</v>
      </c>
      <c r="K13" s="6">
        <f t="shared" si="2"/>
        <v>1756.63</v>
      </c>
      <c r="L13" s="6">
        <f>ROUND($I13*0.65,2)-0.01</f>
        <v>22836.120000000003</v>
      </c>
    </row>
    <row r="14" spans="1:12" ht="15" customHeight="1" x14ac:dyDescent="0.25">
      <c r="A14" s="10">
        <f t="shared" si="4"/>
        <v>45521</v>
      </c>
      <c r="B14" s="6">
        <v>116241</v>
      </c>
      <c r="C14" s="6">
        <v>28743</v>
      </c>
      <c r="D14" s="6">
        <v>26503.75</v>
      </c>
      <c r="E14" s="6">
        <v>0</v>
      </c>
      <c r="F14" s="6">
        <v>-18083</v>
      </c>
      <c r="G14" s="6">
        <v>150</v>
      </c>
      <c r="H14" s="6">
        <v>7216</v>
      </c>
      <c r="I14" s="6">
        <f t="shared" ref="I14" si="10">SUM(B14:H14)</f>
        <v>160770.75</v>
      </c>
      <c r="J14" s="6">
        <f t="shared" si="7"/>
        <v>48231.23</v>
      </c>
      <c r="K14" s="6">
        <f t="shared" si="2"/>
        <v>8038.54</v>
      </c>
      <c r="L14" s="6">
        <f>ROUND($I14*0.65,2)-0.01</f>
        <v>104500.98000000001</v>
      </c>
    </row>
    <row r="15" spans="1:12" ht="15" customHeight="1" x14ac:dyDescent="0.25">
      <c r="A15" s="10">
        <f t="shared" si="4"/>
        <v>45528</v>
      </c>
      <c r="B15" s="6">
        <v>246018</v>
      </c>
      <c r="C15" s="6">
        <v>2067</v>
      </c>
      <c r="D15" s="6">
        <v>1015</v>
      </c>
      <c r="E15" s="6">
        <v>0</v>
      </c>
      <c r="F15" s="6">
        <v>2770</v>
      </c>
      <c r="G15" s="6">
        <v>1050</v>
      </c>
      <c r="H15" s="6">
        <v>8858</v>
      </c>
      <c r="I15" s="6">
        <f t="shared" ref="I15" si="11">SUM(B15:H15)</f>
        <v>261778</v>
      </c>
      <c r="J15" s="6">
        <f t="shared" si="7"/>
        <v>78533.399999999994</v>
      </c>
      <c r="K15" s="6">
        <f t="shared" si="2"/>
        <v>13088.9</v>
      </c>
      <c r="L15" s="6">
        <f>ROUND($I15*0.65,2)</f>
        <v>170155.7</v>
      </c>
    </row>
    <row r="16" spans="1:12" ht="15" customHeight="1" x14ac:dyDescent="0.25">
      <c r="A16" s="10">
        <f t="shared" si="4"/>
        <v>45535</v>
      </c>
      <c r="B16" s="6">
        <v>15999.5</v>
      </c>
      <c r="C16" s="6">
        <v>-8401</v>
      </c>
      <c r="D16" s="6">
        <v>0</v>
      </c>
      <c r="E16" s="6">
        <v>0</v>
      </c>
      <c r="F16" s="6">
        <v>5446</v>
      </c>
      <c r="G16" s="6">
        <v>1098</v>
      </c>
      <c r="H16" s="6">
        <v>5782</v>
      </c>
      <c r="I16" s="6">
        <f t="shared" ref="I16" si="12">SUM(B16:H16)</f>
        <v>19924.5</v>
      </c>
      <c r="J16" s="6">
        <f t="shared" si="7"/>
        <v>5977.35</v>
      </c>
      <c r="K16" s="6">
        <f t="shared" si="2"/>
        <v>996.23</v>
      </c>
      <c r="L16" s="6">
        <f>ROUND($I16*0.65,2)-0.01</f>
        <v>12950.92</v>
      </c>
    </row>
    <row r="17" spans="1:12" ht="15" customHeight="1" x14ac:dyDescent="0.25">
      <c r="A17" s="10">
        <f t="shared" si="4"/>
        <v>45542</v>
      </c>
      <c r="B17" s="6">
        <v>40906</v>
      </c>
      <c r="C17" s="6">
        <v>5066</v>
      </c>
      <c r="D17" s="6">
        <v>0</v>
      </c>
      <c r="E17" s="6">
        <v>0</v>
      </c>
      <c r="F17" s="6">
        <v>5384</v>
      </c>
      <c r="G17" s="6">
        <v>0</v>
      </c>
      <c r="H17" s="6">
        <v>10655</v>
      </c>
      <c r="I17" s="6">
        <f t="shared" ref="I17" si="13">SUM(B17:H17)</f>
        <v>62011</v>
      </c>
      <c r="J17" s="6">
        <f t="shared" si="7"/>
        <v>18603.3</v>
      </c>
      <c r="K17" s="6">
        <f t="shared" si="2"/>
        <v>3100.55</v>
      </c>
      <c r="L17" s="6">
        <f>ROUND($I17*0.65,2)</f>
        <v>40307.15</v>
      </c>
    </row>
    <row r="18" spans="1:12" ht="15" customHeight="1" x14ac:dyDescent="0.25">
      <c r="A18" s="10">
        <f t="shared" si="4"/>
        <v>45549</v>
      </c>
      <c r="B18" s="6">
        <v>22408</v>
      </c>
      <c r="C18" s="6">
        <v>-1214</v>
      </c>
      <c r="D18" s="6">
        <v>0</v>
      </c>
      <c r="E18" s="6">
        <v>0</v>
      </c>
      <c r="F18" s="6">
        <v>10536</v>
      </c>
      <c r="G18" s="6">
        <v>0</v>
      </c>
      <c r="H18" s="6">
        <v>2526.9969999999994</v>
      </c>
      <c r="I18" s="6">
        <f t="shared" ref="I18" si="14">SUM(B18:H18)</f>
        <v>34256.997000000003</v>
      </c>
      <c r="J18" s="6">
        <f t="shared" si="7"/>
        <v>10277.1</v>
      </c>
      <c r="K18" s="6">
        <f t="shared" si="2"/>
        <v>1712.85</v>
      </c>
      <c r="L18" s="6">
        <f>ROUND($I18*0.65,2)</f>
        <v>22267.05</v>
      </c>
    </row>
    <row r="19" spans="1:12" ht="15" customHeight="1" x14ac:dyDescent="0.25">
      <c r="A19" s="10">
        <f t="shared" si="4"/>
        <v>45556</v>
      </c>
      <c r="B19" s="6">
        <v>107344.5</v>
      </c>
      <c r="C19" s="6">
        <v>3944</v>
      </c>
      <c r="D19" s="6">
        <v>0</v>
      </c>
      <c r="E19" s="6">
        <v>0</v>
      </c>
      <c r="F19" s="6">
        <v>6086</v>
      </c>
      <c r="G19" s="6">
        <v>0</v>
      </c>
      <c r="H19" s="6">
        <v>9465</v>
      </c>
      <c r="I19" s="6">
        <f t="shared" ref="I19" si="15">SUM(B19:H19)</f>
        <v>126839.5</v>
      </c>
      <c r="J19" s="6">
        <f t="shared" si="7"/>
        <v>38051.85</v>
      </c>
      <c r="K19" s="6">
        <f t="shared" si="2"/>
        <v>6341.98</v>
      </c>
      <c r="L19" s="6">
        <f>ROUND($I19*0.65,2)-0.01</f>
        <v>82445.67</v>
      </c>
    </row>
    <row r="20" spans="1:12" ht="15" customHeight="1" x14ac:dyDescent="0.25">
      <c r="A20" s="10">
        <f t="shared" si="4"/>
        <v>45563</v>
      </c>
      <c r="B20" s="6">
        <v>14050.5</v>
      </c>
      <c r="C20" s="6">
        <v>4560</v>
      </c>
      <c r="D20" s="6">
        <v>0</v>
      </c>
      <c r="E20" s="6">
        <v>0</v>
      </c>
      <c r="F20" s="6">
        <v>12135</v>
      </c>
      <c r="G20" s="6">
        <v>0</v>
      </c>
      <c r="H20" s="6">
        <v>1065</v>
      </c>
      <c r="I20" s="6">
        <f t="shared" ref="I20" si="16">SUM(B20:H20)</f>
        <v>31810.5</v>
      </c>
      <c r="J20" s="6">
        <f t="shared" si="7"/>
        <v>9543.15</v>
      </c>
      <c r="K20" s="6">
        <f t="shared" si="2"/>
        <v>1590.53</v>
      </c>
      <c r="L20" s="6">
        <f>ROUND($I20*0.65,2)-0.01</f>
        <v>20676.820000000003</v>
      </c>
    </row>
    <row r="21" spans="1:12" ht="15" customHeight="1" x14ac:dyDescent="0.25">
      <c r="A21" s="10">
        <f t="shared" si="4"/>
        <v>45570</v>
      </c>
      <c r="B21" s="6">
        <v>94564</v>
      </c>
      <c r="C21" s="6">
        <v>19440</v>
      </c>
      <c r="D21" s="6">
        <v>-7923.75</v>
      </c>
      <c r="E21" s="6">
        <v>0</v>
      </c>
      <c r="F21" s="6">
        <v>7491</v>
      </c>
      <c r="G21" s="6">
        <v>-4210</v>
      </c>
      <c r="H21" s="6">
        <v>0</v>
      </c>
      <c r="I21" s="6">
        <f t="shared" ref="I21" si="17">SUM(B21:H21)</f>
        <v>109361.25</v>
      </c>
      <c r="J21" s="6">
        <f t="shared" si="7"/>
        <v>32808.379999999997</v>
      </c>
      <c r="K21" s="6">
        <f t="shared" si="2"/>
        <v>5468.06</v>
      </c>
      <c r="L21" s="6">
        <f>ROUND($I21*0.65,2)</f>
        <v>71084.81</v>
      </c>
    </row>
    <row r="22" spans="1:12" ht="15" customHeight="1" x14ac:dyDescent="0.25">
      <c r="A22" s="10">
        <f t="shared" si="4"/>
        <v>45577</v>
      </c>
      <c r="B22" s="6">
        <v>42620.5</v>
      </c>
      <c r="C22" s="6">
        <v>-47307</v>
      </c>
      <c r="D22" s="6">
        <v>0</v>
      </c>
      <c r="E22" s="6">
        <v>0</v>
      </c>
      <c r="F22" s="6">
        <v>17634</v>
      </c>
      <c r="G22" s="6">
        <v>0</v>
      </c>
      <c r="H22" s="6">
        <v>0</v>
      </c>
      <c r="I22" s="6">
        <f t="shared" ref="I22" si="18">SUM(B22:H22)</f>
        <v>12947.5</v>
      </c>
      <c r="J22" s="6">
        <f t="shared" si="7"/>
        <v>3884.25</v>
      </c>
      <c r="K22" s="6">
        <f t="shared" si="2"/>
        <v>647.38</v>
      </c>
      <c r="L22" s="6">
        <f>ROUND($I22*0.65,2)-0.01</f>
        <v>8415.869999999999</v>
      </c>
    </row>
    <row r="23" spans="1:12" ht="15" customHeight="1" x14ac:dyDescent="0.25">
      <c r="A23" s="10">
        <f t="shared" si="4"/>
        <v>45584</v>
      </c>
      <c r="B23" s="6">
        <v>67845.5</v>
      </c>
      <c r="C23" s="6">
        <v>9124</v>
      </c>
      <c r="D23" s="6">
        <v>0</v>
      </c>
      <c r="E23" s="6">
        <v>160</v>
      </c>
      <c r="F23" s="6">
        <v>1410</v>
      </c>
      <c r="G23" s="6">
        <v>390</v>
      </c>
      <c r="H23" s="6">
        <v>0</v>
      </c>
      <c r="I23" s="6">
        <f t="shared" ref="I23" si="19">SUM(B23:H23)</f>
        <v>78929.5</v>
      </c>
      <c r="J23" s="6">
        <f t="shared" si="7"/>
        <v>23678.85</v>
      </c>
      <c r="K23" s="6">
        <f t="shared" si="2"/>
        <v>3946.48</v>
      </c>
      <c r="L23" s="6">
        <f>ROUND($I23*0.65,2)-0.01</f>
        <v>51304.17</v>
      </c>
    </row>
    <row r="24" spans="1:12" ht="15" customHeight="1" x14ac:dyDescent="0.25">
      <c r="A24" s="10">
        <f t="shared" si="4"/>
        <v>45591</v>
      </c>
      <c r="B24" s="6">
        <v>40929</v>
      </c>
      <c r="C24" s="6">
        <v>7118</v>
      </c>
      <c r="D24" s="6">
        <v>0</v>
      </c>
      <c r="E24" s="6">
        <v>110</v>
      </c>
      <c r="F24" s="6">
        <v>25683</v>
      </c>
      <c r="G24" s="6">
        <v>0</v>
      </c>
      <c r="H24" s="6">
        <v>0</v>
      </c>
      <c r="I24" s="6">
        <f t="shared" ref="I24" si="20">SUM(B24:H24)</f>
        <v>73840</v>
      </c>
      <c r="J24" s="6">
        <f t="shared" si="7"/>
        <v>22152</v>
      </c>
      <c r="K24" s="6">
        <f t="shared" si="2"/>
        <v>3692</v>
      </c>
      <c r="L24" s="6">
        <f>ROUND($I24*0.65,2)</f>
        <v>47996</v>
      </c>
    </row>
    <row r="25" spans="1:12" ht="15" customHeight="1" x14ac:dyDescent="0.25">
      <c r="A25" s="10">
        <f t="shared" si="4"/>
        <v>45598</v>
      </c>
      <c r="B25" s="6">
        <v>56250.5</v>
      </c>
      <c r="C25" s="6">
        <v>2928</v>
      </c>
      <c r="D25" s="6">
        <v>0</v>
      </c>
      <c r="E25" s="6">
        <v>130</v>
      </c>
      <c r="F25" s="6">
        <v>16036</v>
      </c>
      <c r="G25" s="6">
        <v>0</v>
      </c>
      <c r="H25" s="6">
        <v>0</v>
      </c>
      <c r="I25" s="6">
        <f t="shared" ref="I25" si="21">SUM(B25:H25)</f>
        <v>75344.5</v>
      </c>
      <c r="J25" s="6">
        <f t="shared" si="7"/>
        <v>22603.35</v>
      </c>
      <c r="K25" s="6">
        <f t="shared" si="2"/>
        <v>3767.23</v>
      </c>
      <c r="L25" s="6">
        <f>ROUND($I25*0.65,2)-0.01</f>
        <v>48973.919999999998</v>
      </c>
    </row>
    <row r="26" spans="1:12" ht="15" customHeight="1" x14ac:dyDescent="0.25">
      <c r="A26" s="10">
        <f t="shared" si="4"/>
        <v>45605</v>
      </c>
      <c r="B26" s="6">
        <v>103385.5</v>
      </c>
      <c r="C26" s="6">
        <v>804</v>
      </c>
      <c r="D26" s="6">
        <v>0</v>
      </c>
      <c r="E26" s="6">
        <v>100</v>
      </c>
      <c r="F26" s="6">
        <v>17437</v>
      </c>
      <c r="G26" s="6">
        <v>0</v>
      </c>
      <c r="H26" s="6">
        <v>0</v>
      </c>
      <c r="I26" s="6">
        <f t="shared" ref="I26" si="22">SUM(B26:H26)</f>
        <v>121726.5</v>
      </c>
      <c r="J26" s="6">
        <f t="shared" si="7"/>
        <v>36517.949999999997</v>
      </c>
      <c r="K26" s="6">
        <f t="shared" si="2"/>
        <v>6086.33</v>
      </c>
      <c r="L26" s="6">
        <f>ROUND($I26*0.65,2)-0.01</f>
        <v>79122.22</v>
      </c>
    </row>
    <row r="27" spans="1:12" ht="15" customHeight="1" x14ac:dyDescent="0.25">
      <c r="A27" s="10">
        <f t="shared" si="4"/>
        <v>45612</v>
      </c>
      <c r="B27" s="6">
        <v>34983.5</v>
      </c>
      <c r="C27" s="6">
        <v>11297</v>
      </c>
      <c r="D27" s="6">
        <v>0</v>
      </c>
      <c r="E27" s="6">
        <v>130</v>
      </c>
      <c r="F27" s="6">
        <v>7392</v>
      </c>
      <c r="G27" s="6">
        <v>0</v>
      </c>
      <c r="H27" s="6">
        <v>0</v>
      </c>
      <c r="I27" s="6">
        <f t="shared" ref="I27" si="23">SUM(B27:H27)</f>
        <v>53802.5</v>
      </c>
      <c r="J27" s="6">
        <f t="shared" si="7"/>
        <v>16140.75</v>
      </c>
      <c r="K27" s="6">
        <f t="shared" si="2"/>
        <v>2690.13</v>
      </c>
      <c r="L27" s="6">
        <f>ROUND($I27*0.65,2)-0.01</f>
        <v>34971.619999999995</v>
      </c>
    </row>
    <row r="28" spans="1:12" ht="15" customHeight="1" x14ac:dyDescent="0.25">
      <c r="A28" s="10">
        <f t="shared" si="4"/>
        <v>45619</v>
      </c>
      <c r="B28" s="6">
        <v>38332.5</v>
      </c>
      <c r="C28" s="6">
        <v>17347</v>
      </c>
      <c r="D28" s="6">
        <v>0</v>
      </c>
      <c r="E28" s="6">
        <v>130</v>
      </c>
      <c r="F28" s="6">
        <v>-5202</v>
      </c>
      <c r="G28" s="6">
        <v>0</v>
      </c>
      <c r="H28" s="6">
        <v>4445</v>
      </c>
      <c r="I28" s="6">
        <f t="shared" ref="I28" si="24">SUM(B28:H28)</f>
        <v>55052.5</v>
      </c>
      <c r="J28" s="6">
        <f t="shared" si="7"/>
        <v>16515.75</v>
      </c>
      <c r="K28" s="6">
        <f t="shared" si="2"/>
        <v>2752.63</v>
      </c>
      <c r="L28" s="6">
        <f>ROUND($I28*0.65,2)-0.01</f>
        <v>35784.119999999995</v>
      </c>
    </row>
    <row r="29" spans="1:12" ht="15" customHeight="1" x14ac:dyDescent="0.25">
      <c r="A29" s="10">
        <f t="shared" si="4"/>
        <v>45626</v>
      </c>
      <c r="B29" s="6">
        <v>-6815.5</v>
      </c>
      <c r="C29" s="6">
        <v>-11721</v>
      </c>
      <c r="D29" s="6">
        <v>0</v>
      </c>
      <c r="E29" s="6">
        <v>90</v>
      </c>
      <c r="F29" s="6">
        <v>5060</v>
      </c>
      <c r="G29" s="6">
        <v>0</v>
      </c>
      <c r="H29" s="6">
        <v>11584</v>
      </c>
      <c r="I29" s="6">
        <f t="shared" ref="I29" si="25">SUM(B29:H29)</f>
        <v>-1802.5</v>
      </c>
      <c r="J29" s="6">
        <f t="shared" si="7"/>
        <v>-540.75</v>
      </c>
      <c r="K29" s="6">
        <f t="shared" si="2"/>
        <v>-90.13</v>
      </c>
      <c r="L29" s="6">
        <f>ROUND($I29*0.65,2)+0.01</f>
        <v>-1171.6200000000001</v>
      </c>
    </row>
    <row r="30" spans="1:12" ht="15" customHeight="1" x14ac:dyDescent="0.25">
      <c r="A30" s="10">
        <f t="shared" si="4"/>
        <v>45633</v>
      </c>
      <c r="B30" s="6">
        <v>39607.5</v>
      </c>
      <c r="C30" s="6">
        <v>9668</v>
      </c>
      <c r="D30" s="6">
        <v>0</v>
      </c>
      <c r="E30" s="6">
        <v>130</v>
      </c>
      <c r="F30" s="6">
        <v>6554</v>
      </c>
      <c r="G30" s="6">
        <v>0</v>
      </c>
      <c r="H30" s="6">
        <v>4066</v>
      </c>
      <c r="I30" s="6">
        <f t="shared" ref="I30" si="26">SUM(B30:H30)</f>
        <v>60025.5</v>
      </c>
      <c r="J30" s="6">
        <f t="shared" si="7"/>
        <v>18007.650000000001</v>
      </c>
      <c r="K30" s="6">
        <f t="shared" si="2"/>
        <v>3001.28</v>
      </c>
      <c r="L30" s="6">
        <f>ROUND($I30*0.65,2)-0.01</f>
        <v>39016.57</v>
      </c>
    </row>
    <row r="31" spans="1:12" ht="15" customHeight="1" x14ac:dyDescent="0.25">
      <c r="A31" s="10">
        <f t="shared" si="4"/>
        <v>45640</v>
      </c>
      <c r="B31" s="6">
        <v>-6936.5</v>
      </c>
      <c r="C31" s="6">
        <v>28043</v>
      </c>
      <c r="D31" s="6">
        <v>0</v>
      </c>
      <c r="E31" s="6">
        <v>0</v>
      </c>
      <c r="F31" s="6">
        <v>10034</v>
      </c>
      <c r="G31" s="6">
        <v>0</v>
      </c>
      <c r="H31" s="6">
        <v>2144</v>
      </c>
      <c r="I31" s="6">
        <f t="shared" ref="I31" si="27">SUM(B31:H31)</f>
        <v>33284.5</v>
      </c>
      <c r="J31" s="6">
        <f t="shared" si="7"/>
        <v>9985.35</v>
      </c>
      <c r="K31" s="6">
        <f t="shared" si="2"/>
        <v>1664.23</v>
      </c>
      <c r="L31" s="6">
        <f>ROUND($I31*0.65,2)-0.01</f>
        <v>21634.920000000002</v>
      </c>
    </row>
    <row r="32" spans="1:12" ht="15" customHeight="1" x14ac:dyDescent="0.25">
      <c r="A32" s="10">
        <f t="shared" si="4"/>
        <v>45647</v>
      </c>
      <c r="B32" s="6">
        <v>286327</v>
      </c>
      <c r="C32" s="6">
        <v>26688</v>
      </c>
      <c r="D32" s="6">
        <v>0</v>
      </c>
      <c r="E32" s="6">
        <v>0</v>
      </c>
      <c r="F32" s="6">
        <v>17707</v>
      </c>
      <c r="G32" s="6">
        <v>400</v>
      </c>
      <c r="H32" s="6">
        <v>7919</v>
      </c>
      <c r="I32" s="6">
        <f t="shared" ref="I32" si="28">SUM(B32:H32)</f>
        <v>339041</v>
      </c>
      <c r="J32" s="6">
        <f t="shared" si="7"/>
        <v>101712.3</v>
      </c>
      <c r="K32" s="6">
        <f t="shared" si="2"/>
        <v>16952.05</v>
      </c>
      <c r="L32" s="6">
        <f>ROUND($I32*0.65,2)</f>
        <v>220376.65</v>
      </c>
    </row>
    <row r="33" spans="1:12" ht="15" customHeight="1" x14ac:dyDescent="0.25">
      <c r="A33" s="10">
        <f t="shared" si="4"/>
        <v>45654</v>
      </c>
      <c r="B33" s="6">
        <v>126858</v>
      </c>
      <c r="C33" s="6">
        <v>27726</v>
      </c>
      <c r="D33" s="6">
        <v>0</v>
      </c>
      <c r="E33" s="6">
        <v>0</v>
      </c>
      <c r="F33" s="6">
        <v>-46849</v>
      </c>
      <c r="G33" s="6">
        <v>0</v>
      </c>
      <c r="H33" s="6">
        <v>13077</v>
      </c>
      <c r="I33" s="6">
        <f t="shared" ref="I33" si="29">SUM(B33:H33)</f>
        <v>120812</v>
      </c>
      <c r="J33" s="6">
        <f t="shared" si="7"/>
        <v>36243.599999999999</v>
      </c>
      <c r="K33" s="6">
        <f t="shared" si="2"/>
        <v>6040.6</v>
      </c>
      <c r="L33" s="6">
        <f>ROUND($I33*0.65,2)</f>
        <v>78527.8</v>
      </c>
    </row>
    <row r="34" spans="1:12" ht="15" customHeight="1" x14ac:dyDescent="0.25">
      <c r="A34" s="10">
        <f t="shared" si="4"/>
        <v>45661</v>
      </c>
      <c r="B34" s="6">
        <v>131367.5</v>
      </c>
      <c r="C34" s="6">
        <v>33238</v>
      </c>
      <c r="D34" s="6">
        <v>-17023.75</v>
      </c>
      <c r="E34" s="6">
        <v>0</v>
      </c>
      <c r="F34" s="6">
        <v>18723</v>
      </c>
      <c r="G34" s="6">
        <v>22125</v>
      </c>
      <c r="H34" s="6">
        <v>12005</v>
      </c>
      <c r="I34" s="6">
        <f t="shared" ref="I34" si="30">SUM(B34:H34)</f>
        <v>200434.75</v>
      </c>
      <c r="J34" s="6">
        <f t="shared" si="7"/>
        <v>60130.43</v>
      </c>
      <c r="K34" s="6">
        <f t="shared" si="2"/>
        <v>10021.74</v>
      </c>
      <c r="L34" s="6">
        <f>ROUND($I34*0.65,2)-0.01</f>
        <v>130282.58</v>
      </c>
    </row>
    <row r="35" spans="1:12" ht="15" customHeight="1" x14ac:dyDescent="0.25">
      <c r="A35" s="10">
        <f t="shared" si="4"/>
        <v>45668</v>
      </c>
      <c r="B35" s="6">
        <v>-4659.5</v>
      </c>
      <c r="C35" s="6">
        <v>1111</v>
      </c>
      <c r="D35" s="6">
        <v>0</v>
      </c>
      <c r="E35" s="6">
        <v>0</v>
      </c>
      <c r="F35" s="6">
        <v>-2387</v>
      </c>
      <c r="G35" s="6">
        <v>0</v>
      </c>
      <c r="H35" s="6">
        <v>1809</v>
      </c>
      <c r="I35" s="6">
        <f t="shared" ref="I35" si="31">SUM(B35:H35)</f>
        <v>-4126.5</v>
      </c>
      <c r="J35" s="6">
        <f t="shared" si="7"/>
        <v>-1237.95</v>
      </c>
      <c r="K35" s="6">
        <f t="shared" si="2"/>
        <v>-206.33</v>
      </c>
      <c r="L35" s="6">
        <f>ROUND($I35*0.65,2)+0.01</f>
        <v>-2682.22</v>
      </c>
    </row>
    <row r="36" spans="1:12" ht="15" customHeight="1" x14ac:dyDescent="0.25">
      <c r="A36" s="10">
        <f t="shared" si="4"/>
        <v>45675</v>
      </c>
      <c r="B36" s="6">
        <v>66680.5</v>
      </c>
      <c r="C36" s="6">
        <v>28099</v>
      </c>
      <c r="D36" s="6">
        <v>32987.5</v>
      </c>
      <c r="E36" s="6">
        <v>0</v>
      </c>
      <c r="F36" s="6">
        <v>-5161</v>
      </c>
      <c r="G36" s="6">
        <v>0</v>
      </c>
      <c r="H36" s="6">
        <v>7489</v>
      </c>
      <c r="I36" s="6">
        <f t="shared" ref="I36" si="32">SUM(B36:H36)</f>
        <v>130095</v>
      </c>
      <c r="J36" s="6">
        <f t="shared" si="7"/>
        <v>39028.5</v>
      </c>
      <c r="K36" s="6">
        <f t="shared" si="2"/>
        <v>6504.75</v>
      </c>
      <c r="L36" s="6">
        <f>ROUND($I36*0.65,2)</f>
        <v>84561.75</v>
      </c>
    </row>
    <row r="37" spans="1:12" ht="15" customHeight="1" x14ac:dyDescent="0.25">
      <c r="A37" s="10">
        <f t="shared" si="4"/>
        <v>45682</v>
      </c>
      <c r="B37" s="6">
        <v>27267</v>
      </c>
      <c r="C37" s="6">
        <v>1708</v>
      </c>
      <c r="D37" s="6">
        <v>0</v>
      </c>
      <c r="E37" s="6">
        <v>0</v>
      </c>
      <c r="F37" s="6">
        <v>9237</v>
      </c>
      <c r="G37" s="6">
        <v>0</v>
      </c>
      <c r="H37" s="6">
        <v>4143</v>
      </c>
      <c r="I37" s="6">
        <f t="shared" ref="I37" si="33">SUM(B37:H37)</f>
        <v>42355</v>
      </c>
      <c r="J37" s="6">
        <f t="shared" si="7"/>
        <v>12706.5</v>
      </c>
      <c r="K37" s="6">
        <f t="shared" si="2"/>
        <v>2117.75</v>
      </c>
      <c r="L37" s="6">
        <f>ROUND($I37*0.65,2)</f>
        <v>27530.75</v>
      </c>
    </row>
    <row r="38" spans="1:12" ht="15" customHeight="1" x14ac:dyDescent="0.25">
      <c r="A38" s="10">
        <f t="shared" si="4"/>
        <v>45689</v>
      </c>
      <c r="B38" s="6">
        <v>14822</v>
      </c>
      <c r="C38" s="6">
        <v>4212</v>
      </c>
      <c r="D38" s="6">
        <v>0</v>
      </c>
      <c r="E38" s="6">
        <v>0</v>
      </c>
      <c r="F38" s="6">
        <v>-1835</v>
      </c>
      <c r="G38" s="6">
        <v>0</v>
      </c>
      <c r="H38" s="6">
        <v>-502</v>
      </c>
      <c r="I38" s="6">
        <f t="shared" ref="I38" si="34">SUM(B38:H38)</f>
        <v>16697</v>
      </c>
      <c r="J38" s="6">
        <f t="shared" si="7"/>
        <v>5009.1000000000004</v>
      </c>
      <c r="K38" s="6">
        <f t="shared" ref="K38:K50" si="35">ROUND($I38*0.05,2)</f>
        <v>834.85</v>
      </c>
      <c r="L38" s="6">
        <f>ROUND($I38*0.65,2)</f>
        <v>10853.05</v>
      </c>
    </row>
    <row r="39" spans="1:12" ht="15" customHeight="1" x14ac:dyDescent="0.25">
      <c r="A39" s="10">
        <f t="shared" si="4"/>
        <v>45696</v>
      </c>
      <c r="B39" s="6">
        <v>111054.5</v>
      </c>
      <c r="C39" s="6">
        <v>-1287</v>
      </c>
      <c r="D39" s="6">
        <v>0</v>
      </c>
      <c r="E39" s="6">
        <v>0</v>
      </c>
      <c r="F39" s="6">
        <v>75</v>
      </c>
      <c r="G39" s="6">
        <v>0</v>
      </c>
      <c r="H39" s="6">
        <v>1272</v>
      </c>
      <c r="I39" s="6">
        <f t="shared" ref="I39" si="36">SUM(B39:H39)</f>
        <v>111114.5</v>
      </c>
      <c r="J39" s="6">
        <f t="shared" si="7"/>
        <v>33334.35</v>
      </c>
      <c r="K39" s="6">
        <f t="shared" si="35"/>
        <v>5555.73</v>
      </c>
      <c r="L39" s="6">
        <f>ROUND($I39*0.65,2)-0.01</f>
        <v>72224.42</v>
      </c>
    </row>
    <row r="40" spans="1:12" ht="15" customHeight="1" x14ac:dyDescent="0.25">
      <c r="A40" s="10">
        <f t="shared" si="4"/>
        <v>45703</v>
      </c>
      <c r="B40" s="6">
        <v>106921</v>
      </c>
      <c r="C40" s="6">
        <v>19407</v>
      </c>
      <c r="D40" s="6">
        <v>0</v>
      </c>
      <c r="E40" s="6">
        <v>0</v>
      </c>
      <c r="F40" s="6">
        <v>38782</v>
      </c>
      <c r="G40" s="6">
        <v>0</v>
      </c>
      <c r="H40" s="6">
        <v>4979</v>
      </c>
      <c r="I40" s="6">
        <f t="shared" ref="I40" si="37">SUM(B40:H40)</f>
        <v>170089</v>
      </c>
      <c r="J40" s="6">
        <f t="shared" si="7"/>
        <v>51026.7</v>
      </c>
      <c r="K40" s="6">
        <f t="shared" si="35"/>
        <v>8504.4500000000007</v>
      </c>
      <c r="L40" s="6">
        <f>ROUND($I40*0.65,2)</f>
        <v>110557.85</v>
      </c>
    </row>
    <row r="41" spans="1:12" ht="15" customHeight="1" x14ac:dyDescent="0.25">
      <c r="A41" s="10">
        <f t="shared" si="4"/>
        <v>45710</v>
      </c>
      <c r="B41" s="6">
        <v>155782.5</v>
      </c>
      <c r="C41" s="6">
        <v>35064</v>
      </c>
      <c r="D41" s="6">
        <v>0</v>
      </c>
      <c r="E41" s="6">
        <v>0</v>
      </c>
      <c r="F41" s="6">
        <v>19718</v>
      </c>
      <c r="G41" s="6">
        <v>0</v>
      </c>
      <c r="H41" s="6">
        <v>16665</v>
      </c>
      <c r="I41" s="6">
        <f t="shared" ref="I41" si="38">SUM(B41:H41)</f>
        <v>227229.5</v>
      </c>
      <c r="J41" s="6">
        <f t="shared" si="7"/>
        <v>68168.850000000006</v>
      </c>
      <c r="K41" s="6">
        <f t="shared" si="35"/>
        <v>11361.48</v>
      </c>
      <c r="L41" s="6">
        <f>ROUND($I41*0.65,2)-0.01</f>
        <v>147699.16999999998</v>
      </c>
    </row>
    <row r="42" spans="1:12" ht="15" customHeight="1" x14ac:dyDescent="0.25">
      <c r="A42" s="10">
        <f t="shared" si="4"/>
        <v>45717</v>
      </c>
      <c r="B42" s="6">
        <v>41107</v>
      </c>
      <c r="C42" s="6">
        <v>-3166</v>
      </c>
      <c r="D42" s="6">
        <v>0</v>
      </c>
      <c r="E42" s="6">
        <v>0</v>
      </c>
      <c r="F42" s="6">
        <v>5599</v>
      </c>
      <c r="G42" s="6">
        <v>0</v>
      </c>
      <c r="H42" s="6">
        <v>6482</v>
      </c>
      <c r="I42" s="6">
        <f t="shared" ref="I42" si="39">SUM(B42:H42)</f>
        <v>50022</v>
      </c>
      <c r="J42" s="6">
        <f t="shared" si="7"/>
        <v>15006.6</v>
      </c>
      <c r="K42" s="6">
        <f t="shared" si="35"/>
        <v>2501.1</v>
      </c>
      <c r="L42" s="6">
        <f>ROUND($I42*0.65,2)</f>
        <v>32514.3</v>
      </c>
    </row>
    <row r="43" spans="1:12" x14ac:dyDescent="0.25">
      <c r="A43" s="10">
        <f t="shared" si="4"/>
        <v>45724</v>
      </c>
      <c r="B43" s="6">
        <v>-47328</v>
      </c>
      <c r="C43" s="6">
        <v>11117</v>
      </c>
      <c r="D43" s="6">
        <v>0</v>
      </c>
      <c r="E43" s="6">
        <v>0</v>
      </c>
      <c r="F43" s="6">
        <v>5457</v>
      </c>
      <c r="G43" s="6">
        <v>0</v>
      </c>
      <c r="H43" s="6">
        <v>4689</v>
      </c>
      <c r="I43" s="6">
        <f t="shared" ref="I43" si="40">SUM(B43:H43)</f>
        <v>-26065</v>
      </c>
      <c r="J43" s="6">
        <f t="shared" si="7"/>
        <v>-7819.5</v>
      </c>
      <c r="K43" s="6">
        <f t="shared" si="35"/>
        <v>-1303.25</v>
      </c>
      <c r="L43" s="6">
        <f>ROUND($I43*0.65,2)</f>
        <v>-16942.25</v>
      </c>
    </row>
    <row r="44" spans="1:12" x14ac:dyDescent="0.25">
      <c r="A44" s="10">
        <f t="shared" si="4"/>
        <v>45731</v>
      </c>
      <c r="B44" s="6">
        <v>35075.5</v>
      </c>
      <c r="C44" s="6">
        <v>17118</v>
      </c>
      <c r="D44" s="6">
        <v>0</v>
      </c>
      <c r="E44" s="6">
        <v>0</v>
      </c>
      <c r="F44" s="6">
        <v>12875</v>
      </c>
      <c r="G44" s="6">
        <v>0</v>
      </c>
      <c r="H44" s="6">
        <v>3644</v>
      </c>
      <c r="I44" s="6">
        <f t="shared" ref="I44" si="41">SUM(B44:H44)</f>
        <v>68712.5</v>
      </c>
      <c r="J44" s="6">
        <f t="shared" si="7"/>
        <v>20613.75</v>
      </c>
      <c r="K44" s="6">
        <f t="shared" si="35"/>
        <v>3435.63</v>
      </c>
      <c r="L44" s="6">
        <f>ROUND($I44*0.65,2)-0.01</f>
        <v>44663.119999999995</v>
      </c>
    </row>
    <row r="45" spans="1:12" x14ac:dyDescent="0.25">
      <c r="A45" s="10">
        <f t="shared" si="4"/>
        <v>45738</v>
      </c>
      <c r="B45" s="6">
        <v>52840</v>
      </c>
      <c r="C45" s="6">
        <v>8356</v>
      </c>
      <c r="D45" s="6">
        <v>0</v>
      </c>
      <c r="E45" s="6">
        <v>0</v>
      </c>
      <c r="F45" s="6">
        <v>6668</v>
      </c>
      <c r="G45" s="6">
        <v>0</v>
      </c>
      <c r="H45" s="6">
        <v>6347</v>
      </c>
      <c r="I45" s="6">
        <f t="shared" ref="I45" si="42">SUM(B45:H45)</f>
        <v>74211</v>
      </c>
      <c r="J45" s="6">
        <f t="shared" si="7"/>
        <v>22263.3</v>
      </c>
      <c r="K45" s="6">
        <f t="shared" si="35"/>
        <v>3710.55</v>
      </c>
      <c r="L45" s="6">
        <f>ROUND($I45*0.65,2)</f>
        <v>48237.15</v>
      </c>
    </row>
    <row r="46" spans="1:12" x14ac:dyDescent="0.25">
      <c r="A46" s="10">
        <f t="shared" si="4"/>
        <v>45745</v>
      </c>
      <c r="B46" s="6">
        <v>123748</v>
      </c>
      <c r="C46" s="6">
        <v>15693</v>
      </c>
      <c r="D46" s="6">
        <v>0</v>
      </c>
      <c r="E46" s="6">
        <v>0</v>
      </c>
      <c r="F46" s="6">
        <v>31772</v>
      </c>
      <c r="G46" s="6">
        <v>0</v>
      </c>
      <c r="H46" s="6">
        <v>-2364</v>
      </c>
      <c r="I46" s="6">
        <f t="shared" ref="I46" si="43">SUM(B46:H46)</f>
        <v>168849</v>
      </c>
      <c r="J46" s="6">
        <f t="shared" si="7"/>
        <v>50654.7</v>
      </c>
      <c r="K46" s="6">
        <f t="shared" si="35"/>
        <v>8442.4500000000007</v>
      </c>
      <c r="L46" s="6">
        <f>ROUND($I46*0.65,2)</f>
        <v>109751.85</v>
      </c>
    </row>
    <row r="47" spans="1:12" x14ac:dyDescent="0.25">
      <c r="A47" s="10">
        <f t="shared" si="4"/>
        <v>45752</v>
      </c>
      <c r="B47" s="6">
        <v>-14649.5</v>
      </c>
      <c r="C47" s="6">
        <v>-94</v>
      </c>
      <c r="D47" s="6">
        <v>0</v>
      </c>
      <c r="E47" s="6">
        <v>0</v>
      </c>
      <c r="F47" s="6">
        <v>3096</v>
      </c>
      <c r="G47" s="6">
        <v>0</v>
      </c>
      <c r="H47" s="6">
        <v>9663</v>
      </c>
      <c r="I47" s="6">
        <f t="shared" ref="I47" si="44">SUM(B47:H47)</f>
        <v>-1984.5</v>
      </c>
      <c r="J47" s="6">
        <f t="shared" si="7"/>
        <v>-595.35</v>
      </c>
      <c r="K47" s="6">
        <f t="shared" si="35"/>
        <v>-99.23</v>
      </c>
      <c r="L47" s="6">
        <f>ROUND($I47*0.65,2)+0.01</f>
        <v>-1289.92</v>
      </c>
    </row>
    <row r="48" spans="1:12" x14ac:dyDescent="0.25">
      <c r="A48" s="10">
        <f t="shared" si="4"/>
        <v>45759</v>
      </c>
      <c r="B48" s="6">
        <v>74875.5</v>
      </c>
      <c r="C48" s="6">
        <v>-3617</v>
      </c>
      <c r="D48" s="6">
        <v>0</v>
      </c>
      <c r="E48" s="6">
        <v>0</v>
      </c>
      <c r="F48" s="6">
        <v>-5352</v>
      </c>
      <c r="G48" s="6">
        <v>0</v>
      </c>
      <c r="H48" s="6">
        <v>1466</v>
      </c>
      <c r="I48" s="6">
        <f t="shared" ref="I48" si="45">SUM(B48:H48)</f>
        <v>67372.5</v>
      </c>
      <c r="J48" s="6">
        <f t="shared" si="7"/>
        <v>20211.75</v>
      </c>
      <c r="K48" s="6">
        <f t="shared" si="35"/>
        <v>3368.63</v>
      </c>
      <c r="L48" s="6">
        <f>ROUND($I48*0.65,2)-0.01</f>
        <v>43792.119999999995</v>
      </c>
    </row>
    <row r="49" spans="1:12" x14ac:dyDescent="0.25">
      <c r="A49" s="10">
        <f t="shared" si="4"/>
        <v>45766</v>
      </c>
      <c r="B49" s="6">
        <v>155663.5</v>
      </c>
      <c r="C49" s="6">
        <v>34956</v>
      </c>
      <c r="D49" s="6">
        <v>1977.25</v>
      </c>
      <c r="E49" s="6">
        <v>0</v>
      </c>
      <c r="F49" s="6">
        <v>12798</v>
      </c>
      <c r="G49" s="6">
        <v>0</v>
      </c>
      <c r="H49" s="6">
        <v>2284</v>
      </c>
      <c r="I49" s="6">
        <f t="shared" ref="I49" si="46">SUM(B49:H49)</f>
        <v>207678.75</v>
      </c>
      <c r="J49" s="6">
        <f t="shared" si="7"/>
        <v>62303.63</v>
      </c>
      <c r="K49" s="6">
        <f t="shared" si="35"/>
        <v>10383.94</v>
      </c>
      <c r="L49" s="6">
        <f>ROUND($I49*0.65,2)-0.01</f>
        <v>134991.18</v>
      </c>
    </row>
    <row r="50" spans="1:12" x14ac:dyDescent="0.25">
      <c r="A50" s="10">
        <f t="shared" si="4"/>
        <v>45773</v>
      </c>
      <c r="B50" s="6">
        <v>60902.5</v>
      </c>
      <c r="C50" s="6">
        <v>6239</v>
      </c>
      <c r="D50" s="6">
        <v>0</v>
      </c>
      <c r="E50" s="6">
        <v>0</v>
      </c>
      <c r="F50" s="6">
        <v>6448</v>
      </c>
      <c r="G50" s="6">
        <v>0</v>
      </c>
      <c r="H50" s="6">
        <v>10491</v>
      </c>
      <c r="I50" s="6">
        <f t="shared" ref="I50" si="47">SUM(B50:H50)</f>
        <v>84080.5</v>
      </c>
      <c r="J50" s="6">
        <f t="shared" si="7"/>
        <v>25224.15</v>
      </c>
      <c r="K50" s="6">
        <f t="shared" si="35"/>
        <v>4204.03</v>
      </c>
      <c r="L50" s="6">
        <f>ROUND($I50*0.65,2)-0.01</f>
        <v>54652.32</v>
      </c>
    </row>
    <row r="51" spans="1:12" x14ac:dyDescent="0.25">
      <c r="A51" s="10">
        <f t="shared" si="4"/>
        <v>45780</v>
      </c>
      <c r="B51" s="6">
        <v>101802</v>
      </c>
      <c r="C51" s="6">
        <v>29219</v>
      </c>
      <c r="D51" s="6">
        <v>0</v>
      </c>
      <c r="E51" s="6">
        <v>0</v>
      </c>
      <c r="F51" s="6">
        <v>10890</v>
      </c>
      <c r="G51" s="6">
        <v>-525</v>
      </c>
      <c r="H51" s="6">
        <v>-1260</v>
      </c>
      <c r="I51" s="6">
        <f t="shared" ref="I51" si="48">SUM(B51:H51)</f>
        <v>140126</v>
      </c>
      <c r="J51" s="6">
        <f t="shared" si="7"/>
        <v>42037.8</v>
      </c>
      <c r="K51" s="6">
        <f t="shared" ref="K51:K60" si="49">ROUND($I51*0.05,2)</f>
        <v>7006.3</v>
      </c>
      <c r="L51" s="6">
        <f>ROUND($I51*0.65,2)</f>
        <v>91081.9</v>
      </c>
    </row>
    <row r="52" spans="1:12" x14ac:dyDescent="0.25">
      <c r="A52" s="10">
        <f t="shared" si="4"/>
        <v>45787</v>
      </c>
      <c r="B52" s="6">
        <v>-26373.5</v>
      </c>
      <c r="C52" s="6">
        <v>5402</v>
      </c>
      <c r="D52" s="6">
        <v>0</v>
      </c>
      <c r="E52" s="6">
        <v>0</v>
      </c>
      <c r="F52" s="6">
        <v>-2749</v>
      </c>
      <c r="G52" s="6">
        <v>0</v>
      </c>
      <c r="H52" s="6">
        <v>1463</v>
      </c>
      <c r="I52" s="6">
        <f t="shared" ref="I52" si="50">SUM(B52:H52)</f>
        <v>-22257.5</v>
      </c>
      <c r="J52" s="6">
        <f t="shared" si="7"/>
        <v>-6677.25</v>
      </c>
      <c r="K52" s="6">
        <f t="shared" si="49"/>
        <v>-1112.8800000000001</v>
      </c>
      <c r="L52" s="6">
        <f>ROUND($I52*0.65,2)+0.01</f>
        <v>-14467.369999999999</v>
      </c>
    </row>
    <row r="53" spans="1:12" x14ac:dyDescent="0.25">
      <c r="A53" s="10">
        <f t="shared" si="4"/>
        <v>45794</v>
      </c>
      <c r="B53" s="6">
        <v>64586.5</v>
      </c>
      <c r="C53" s="6">
        <v>17767</v>
      </c>
      <c r="D53" s="6">
        <v>0</v>
      </c>
      <c r="E53" s="6">
        <v>0</v>
      </c>
      <c r="F53" s="6">
        <v>4656</v>
      </c>
      <c r="G53" s="6">
        <v>0</v>
      </c>
      <c r="H53" s="6">
        <v>656</v>
      </c>
      <c r="I53" s="6">
        <f t="shared" ref="I53" si="51">SUM(B53:H53)</f>
        <v>87665.5</v>
      </c>
      <c r="J53" s="6">
        <f t="shared" si="7"/>
        <v>26299.65</v>
      </c>
      <c r="K53" s="6">
        <f t="shared" si="49"/>
        <v>4383.28</v>
      </c>
      <c r="L53" s="6">
        <f>ROUND($I53*0.65,2)-0.01</f>
        <v>56982.57</v>
      </c>
    </row>
    <row r="54" spans="1:12" x14ac:dyDescent="0.25">
      <c r="A54" s="10">
        <f t="shared" si="4"/>
        <v>45801</v>
      </c>
      <c r="B54" s="6">
        <v>75428</v>
      </c>
      <c r="C54" s="6">
        <v>12304</v>
      </c>
      <c r="D54" s="6">
        <v>0</v>
      </c>
      <c r="E54" s="6">
        <v>0</v>
      </c>
      <c r="F54" s="6">
        <v>11336</v>
      </c>
      <c r="G54" s="6">
        <v>0</v>
      </c>
      <c r="H54" s="6">
        <v>6739</v>
      </c>
      <c r="I54" s="6">
        <f t="shared" ref="I54" si="52">SUM(B54:H54)</f>
        <v>105807</v>
      </c>
      <c r="J54" s="6">
        <f t="shared" si="7"/>
        <v>31742.1</v>
      </c>
      <c r="K54" s="6">
        <f t="shared" si="49"/>
        <v>5290.35</v>
      </c>
      <c r="L54" s="6">
        <f>ROUND($I54*0.65,2)</f>
        <v>68774.55</v>
      </c>
    </row>
    <row r="55" spans="1:12" x14ac:dyDescent="0.25">
      <c r="A55" s="10">
        <f t="shared" si="4"/>
        <v>45808</v>
      </c>
      <c r="B55" s="6">
        <v>125192</v>
      </c>
      <c r="C55" s="6">
        <v>-11542</v>
      </c>
      <c r="D55" s="6">
        <v>0</v>
      </c>
      <c r="E55" s="6">
        <v>0</v>
      </c>
      <c r="F55" s="6">
        <v>7510</v>
      </c>
      <c r="G55" s="6">
        <v>0</v>
      </c>
      <c r="H55" s="6">
        <v>1688</v>
      </c>
      <c r="I55" s="6">
        <f t="shared" ref="I55" si="53">SUM(B55:H55)</f>
        <v>122848</v>
      </c>
      <c r="J55" s="6">
        <f t="shared" si="7"/>
        <v>36854.400000000001</v>
      </c>
      <c r="K55" s="6">
        <f t="shared" si="49"/>
        <v>6142.4</v>
      </c>
      <c r="L55" s="6">
        <f>ROUND($I55*0.65,2)</f>
        <v>79851.199999999997</v>
      </c>
    </row>
    <row r="56" spans="1:12" x14ac:dyDescent="0.25">
      <c r="A56" s="10">
        <f t="shared" si="4"/>
        <v>45815</v>
      </c>
      <c r="B56" s="6">
        <v>86377</v>
      </c>
      <c r="C56" s="6">
        <v>16447</v>
      </c>
      <c r="D56" s="6">
        <v>8710</v>
      </c>
      <c r="E56" s="6">
        <v>0</v>
      </c>
      <c r="F56" s="6">
        <v>4919</v>
      </c>
      <c r="G56" s="6">
        <v>0</v>
      </c>
      <c r="H56" s="6">
        <v>3241</v>
      </c>
      <c r="I56" s="6">
        <f t="shared" ref="I56" si="54">SUM(B56:H56)</f>
        <v>119694</v>
      </c>
      <c r="J56" s="6">
        <f t="shared" si="7"/>
        <v>35908.199999999997</v>
      </c>
      <c r="K56" s="6">
        <f t="shared" si="49"/>
        <v>5984.7</v>
      </c>
      <c r="L56" s="6">
        <f>ROUND($I56*0.65,2)</f>
        <v>77801.100000000006</v>
      </c>
    </row>
    <row r="57" spans="1:12" x14ac:dyDescent="0.25">
      <c r="A57" s="10">
        <f t="shared" si="4"/>
        <v>45822</v>
      </c>
      <c r="B57" s="6">
        <v>124294.5</v>
      </c>
      <c r="C57" s="6">
        <v>4117</v>
      </c>
      <c r="D57" s="6">
        <v>-6713.5</v>
      </c>
      <c r="E57" s="6">
        <v>0</v>
      </c>
      <c r="F57" s="6">
        <v>5400</v>
      </c>
      <c r="G57" s="6">
        <v>0</v>
      </c>
      <c r="H57" s="6">
        <v>-820</v>
      </c>
      <c r="I57" s="6">
        <f t="shared" ref="I57" si="55">SUM(B57:H57)</f>
        <v>126278</v>
      </c>
      <c r="J57" s="6">
        <f t="shared" si="7"/>
        <v>37883.4</v>
      </c>
      <c r="K57" s="6">
        <f t="shared" si="49"/>
        <v>6313.9</v>
      </c>
      <c r="L57" s="6">
        <f>ROUND($I57*0.65,2)</f>
        <v>82080.7</v>
      </c>
    </row>
    <row r="58" spans="1:12" x14ac:dyDescent="0.25">
      <c r="A58" s="10">
        <f t="shared" si="4"/>
        <v>45829</v>
      </c>
      <c r="B58" s="6">
        <v>80504.5</v>
      </c>
      <c r="C58" s="6">
        <v>11964</v>
      </c>
      <c r="D58" s="6">
        <v>13625</v>
      </c>
      <c r="E58" s="6">
        <v>0</v>
      </c>
      <c r="F58" s="6">
        <v>888</v>
      </c>
      <c r="G58" s="6">
        <v>0</v>
      </c>
      <c r="H58" s="6">
        <v>1267</v>
      </c>
      <c r="I58" s="6">
        <f t="shared" ref="I58" si="56">SUM(B58:H58)</f>
        <v>108248.5</v>
      </c>
      <c r="J58" s="6">
        <f t="shared" si="7"/>
        <v>32474.55</v>
      </c>
      <c r="K58" s="6">
        <f t="shared" si="49"/>
        <v>5412.43</v>
      </c>
      <c r="L58" s="6">
        <f>ROUND($I58*0.65,2)-0.01</f>
        <v>70361.52</v>
      </c>
    </row>
    <row r="59" spans="1:12" x14ac:dyDescent="0.25">
      <c r="A59" s="10">
        <f t="shared" si="4"/>
        <v>45836</v>
      </c>
      <c r="B59" s="6">
        <v>124762</v>
      </c>
      <c r="C59" s="6">
        <v>38773</v>
      </c>
      <c r="D59" s="6">
        <v>0</v>
      </c>
      <c r="E59" s="6">
        <v>0</v>
      </c>
      <c r="F59" s="6">
        <v>3869</v>
      </c>
      <c r="G59" s="6">
        <v>0</v>
      </c>
      <c r="H59" s="6">
        <v>4705</v>
      </c>
      <c r="I59" s="6">
        <f t="shared" ref="I59" si="57">SUM(B59:H59)</f>
        <v>172109</v>
      </c>
      <c r="J59" s="6">
        <f t="shared" si="7"/>
        <v>51632.7</v>
      </c>
      <c r="K59" s="6">
        <f t="shared" si="49"/>
        <v>8605.4500000000007</v>
      </c>
      <c r="L59" s="6">
        <f>ROUND($I59*0.65,2)</f>
        <v>111870.85</v>
      </c>
    </row>
    <row r="60" spans="1:12" x14ac:dyDescent="0.25">
      <c r="A60" s="17" t="s">
        <v>36</v>
      </c>
      <c r="B60" s="6">
        <v>32864.5</v>
      </c>
      <c r="C60" s="6">
        <v>-24823</v>
      </c>
      <c r="D60" s="6">
        <v>0</v>
      </c>
      <c r="E60" s="6">
        <v>0</v>
      </c>
      <c r="F60" s="6">
        <v>1423</v>
      </c>
      <c r="G60" s="6">
        <v>0</v>
      </c>
      <c r="H60" s="6">
        <v>1190</v>
      </c>
      <c r="I60" s="6">
        <f t="shared" ref="I60" si="58">SUM(B60:H60)</f>
        <v>10654.5</v>
      </c>
      <c r="J60" s="6">
        <f>ROUND($I60*0.3,2)</f>
        <v>3196.35</v>
      </c>
      <c r="K60" s="6">
        <f t="shared" si="49"/>
        <v>532.73</v>
      </c>
      <c r="L60" s="6">
        <f>ROUND($I60*0.65,2)-0.1</f>
        <v>6925.33</v>
      </c>
    </row>
    <row r="61" spans="1:12" ht="15" customHeight="1" x14ac:dyDescent="0.25">
      <c r="A61" s="10"/>
      <c r="B61" s="6"/>
      <c r="C61" s="6"/>
      <c r="D61" s="6"/>
      <c r="E61" s="6"/>
      <c r="F61" s="6"/>
      <c r="G61" s="6"/>
      <c r="H61" s="6" t="s">
        <v>34</v>
      </c>
      <c r="I61" s="6"/>
      <c r="J61" s="6"/>
      <c r="K61" s="6"/>
      <c r="L61" s="6"/>
    </row>
    <row r="62" spans="1:12" ht="15" customHeight="1" thickBot="1" x14ac:dyDescent="0.3">
      <c r="B62" s="7">
        <f t="shared" ref="B62:L62" si="59">SUM(B8:B61)</f>
        <v>3696135.5</v>
      </c>
      <c r="C62" s="7">
        <f t="shared" si="59"/>
        <v>490109</v>
      </c>
      <c r="D62" s="7">
        <f t="shared" si="59"/>
        <v>49623.75</v>
      </c>
      <c r="E62" s="7">
        <f t="shared" si="59"/>
        <v>980</v>
      </c>
      <c r="F62" s="7">
        <f t="shared" si="59"/>
        <v>378755</v>
      </c>
      <c r="G62" s="7">
        <f t="shared" si="59"/>
        <v>5008</v>
      </c>
      <c r="H62" s="7">
        <f t="shared" si="59"/>
        <v>252785.997</v>
      </c>
      <c r="I62" s="7">
        <f t="shared" si="59"/>
        <v>4873397.2469999995</v>
      </c>
      <c r="J62" s="7">
        <f t="shared" si="59"/>
        <v>1462019.1999999995</v>
      </c>
      <c r="K62" s="7">
        <f t="shared" si="59"/>
        <v>243669.96000000005</v>
      </c>
      <c r="L62" s="7">
        <f t="shared" si="59"/>
        <v>3167708.0000000005</v>
      </c>
    </row>
    <row r="63" spans="1:12" ht="15" customHeight="1" thickTop="1" x14ac:dyDescent="0.25"/>
    <row r="64" spans="1:12" ht="15" customHeight="1" x14ac:dyDescent="0.25">
      <c r="A64" s="15" t="s">
        <v>31</v>
      </c>
    </row>
    <row r="65" spans="1:1" ht="15" customHeight="1" x14ac:dyDescent="0.25">
      <c r="A65" s="8" t="s">
        <v>39</v>
      </c>
    </row>
  </sheetData>
  <mergeCells count="1">
    <mergeCell ref="A6:L6"/>
  </mergeCells>
  <pageMargins left="0.25" right="0.25" top="0.75" bottom="0.5" header="0.25" footer="0"/>
  <pageSetup scale="78" orientation="landscape" r:id="rId1"/>
  <headerFooter>
    <oddHeader>&amp;C&amp;"Arial,Italic"&amp;10GREENBRIER HISTORIC RESORT TABLE GAMES</oddHeader>
    <oddFooter>&amp;L&amp;"Arial,Regular"&amp;8&amp;F</oddFooter>
  </headerFooter>
  <ignoredErrors>
    <ignoredError sqref="I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4"/>
  <sheetViews>
    <sheetView zoomScaleNormal="100" workbookViewId="0">
      <pane ySplit="3" topLeftCell="A41" activePane="bottomLeft" state="frozen"/>
      <selection pane="bottomLeft" activeCell="P1" sqref="P1"/>
    </sheetView>
  </sheetViews>
  <sheetFormatPr defaultRowHeight="15" customHeight="1" x14ac:dyDescent="0.25"/>
  <cols>
    <col min="1" max="1" width="12.7109375" customWidth="1"/>
    <col min="2" max="2" width="18" bestFit="1" customWidth="1"/>
    <col min="3" max="3" width="16.140625" bestFit="1" customWidth="1"/>
    <col min="4" max="4" width="15" bestFit="1" customWidth="1"/>
    <col min="5" max="5" width="14.7109375" customWidth="1"/>
    <col min="6" max="6" width="15" bestFit="1" customWidth="1"/>
    <col min="7" max="7" width="13.28515625" bestFit="1" customWidth="1"/>
    <col min="8" max="8" width="13.7109375" customWidth="1"/>
    <col min="9" max="9" width="15" bestFit="1" customWidth="1"/>
    <col min="10" max="10" width="11.7109375" customWidth="1"/>
    <col min="11" max="11" width="12.7109375" customWidth="1"/>
  </cols>
  <sheetData>
    <row r="1" spans="1:11" s="1" customFormat="1" ht="60" x14ac:dyDescent="0.25">
      <c r="B1" s="2" t="s">
        <v>0</v>
      </c>
      <c r="C1" s="2" t="s">
        <v>1</v>
      </c>
      <c r="D1" s="3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10</v>
      </c>
    </row>
    <row r="2" spans="1:11" ht="15" customHeight="1" x14ac:dyDescent="0.25">
      <c r="A2" t="s">
        <v>33</v>
      </c>
      <c r="B2" s="14">
        <v>54665875.810000002</v>
      </c>
      <c r="C2" s="14">
        <v>49678505.260000005</v>
      </c>
      <c r="D2" s="14">
        <v>970356</v>
      </c>
      <c r="E2" s="14">
        <v>4017014.5500000012</v>
      </c>
      <c r="F2" s="14">
        <v>1446125.16</v>
      </c>
      <c r="G2" s="14">
        <v>682892.52000000014</v>
      </c>
      <c r="H2" s="14">
        <v>188799.68000000002</v>
      </c>
      <c r="I2" s="14">
        <v>1699197.1900000002</v>
      </c>
      <c r="J2" s="14">
        <v>616.75</v>
      </c>
      <c r="K2" s="9">
        <v>119</v>
      </c>
    </row>
    <row r="4" spans="1:11" ht="15" customHeight="1" x14ac:dyDescent="0.25">
      <c r="A4" s="20" t="s">
        <v>32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 customHeight="1" x14ac:dyDescent="0.25">
      <c r="A6" s="10" t="s">
        <v>30</v>
      </c>
      <c r="B6" s="6">
        <v>896542.18</v>
      </c>
      <c r="C6" s="6">
        <v>827255.32000000007</v>
      </c>
      <c r="D6" s="6">
        <v>10786</v>
      </c>
      <c r="E6" s="6">
        <f t="shared" ref="E6" si="0">B6-C6-D6</f>
        <v>58500.859999999986</v>
      </c>
      <c r="F6" s="6">
        <f>ROUND($E6*0.36,2)+0.03</f>
        <v>21060.34</v>
      </c>
      <c r="G6" s="6">
        <f>ROUND($E6*0.17,2)-0.01</f>
        <v>9945.14</v>
      </c>
      <c r="H6" s="6">
        <f>ROUND($E6*0.047,2)-0.01</f>
        <v>2749.5299999999997</v>
      </c>
      <c r="I6" s="6">
        <f>ROUND($E6*0.423,2)-0.01</f>
        <v>24745.850000000002</v>
      </c>
      <c r="J6" s="11">
        <f t="shared" ref="J6" si="1">E6/K6</f>
        <v>504.31775862068952</v>
      </c>
      <c r="K6" s="9">
        <v>116</v>
      </c>
    </row>
    <row r="7" spans="1:11" ht="15" customHeight="1" x14ac:dyDescent="0.25">
      <c r="A7" s="10">
        <v>45486</v>
      </c>
      <c r="B7" s="6">
        <v>772674.57</v>
      </c>
      <c r="C7" s="6">
        <v>724611.78</v>
      </c>
      <c r="D7" s="6">
        <v>11390</v>
      </c>
      <c r="E7" s="6">
        <f t="shared" ref="E7" si="2">B7-C7-D7</f>
        <v>36672.789999999921</v>
      </c>
      <c r="F7" s="6">
        <f>ROUND($E7*0.36,2)-0.01</f>
        <v>13202.19</v>
      </c>
      <c r="G7" s="6">
        <f>ROUND($E7*0.17,2)+0.02</f>
        <v>6234.39</v>
      </c>
      <c r="H7" s="6">
        <f>ROUND($E7*0.047,2)</f>
        <v>1723.62</v>
      </c>
      <c r="I7" s="6">
        <f>ROUND($E7*0.423,2)</f>
        <v>15512.59</v>
      </c>
      <c r="J7" s="11">
        <f t="shared" ref="J7" si="3">E7/K7</f>
        <v>370.43222222222141</v>
      </c>
      <c r="K7" s="9">
        <v>99</v>
      </c>
    </row>
    <row r="8" spans="1:11" ht="15" customHeight="1" x14ac:dyDescent="0.25">
      <c r="A8" s="10">
        <f t="shared" ref="A8:A22" si="4">A7+7</f>
        <v>45493</v>
      </c>
      <c r="B8" s="6">
        <v>659885.71</v>
      </c>
      <c r="C8" s="6">
        <v>569139.15999999992</v>
      </c>
      <c r="D8" s="6">
        <v>14005</v>
      </c>
      <c r="E8" s="6">
        <f t="shared" ref="E8" si="5">B8-C8-D8</f>
        <v>76741.550000000047</v>
      </c>
      <c r="F8" s="6">
        <f>ROUND($E8*0.36,2)-0.02</f>
        <v>27626.94</v>
      </c>
      <c r="G8" s="6">
        <f>ROUND($E8*0.17,2)+0.01</f>
        <v>13046.07</v>
      </c>
      <c r="H8" s="6">
        <f>ROUND($E8*0.047,2)+0.01</f>
        <v>3606.86</v>
      </c>
      <c r="I8" s="6">
        <f>ROUND($E8*0.423,2)</f>
        <v>32461.68</v>
      </c>
      <c r="J8" s="11">
        <f t="shared" ref="J8" si="6">E8/K8</f>
        <v>745.06359223301013</v>
      </c>
      <c r="K8" s="9">
        <v>103</v>
      </c>
    </row>
    <row r="9" spans="1:11" ht="15" customHeight="1" x14ac:dyDescent="0.25">
      <c r="A9" s="10">
        <f t="shared" si="4"/>
        <v>45500</v>
      </c>
      <c r="B9" s="6">
        <v>870499.79</v>
      </c>
      <c r="C9" s="6">
        <v>768561.42</v>
      </c>
      <c r="D9" s="6">
        <v>13375</v>
      </c>
      <c r="E9" s="6">
        <f t="shared" ref="E9" si="7">B9-C9-D9</f>
        <v>88563.37</v>
      </c>
      <c r="F9" s="6">
        <f>ROUND($E9*0.36,2)+0.01</f>
        <v>31882.82</v>
      </c>
      <c r="G9" s="6">
        <f>ROUND($E9*0.17,2)-0.01</f>
        <v>15055.76</v>
      </c>
      <c r="H9" s="6">
        <f>ROUND($E9*0.047,2)</f>
        <v>4162.4799999999996</v>
      </c>
      <c r="I9" s="6">
        <f>ROUND($E9*0.423,2)</f>
        <v>37462.31</v>
      </c>
      <c r="J9" s="11">
        <f t="shared" ref="J9" si="8">E9/K9</f>
        <v>776.87166666666667</v>
      </c>
      <c r="K9" s="9">
        <v>114</v>
      </c>
    </row>
    <row r="10" spans="1:11" ht="15" customHeight="1" x14ac:dyDescent="0.25">
      <c r="A10" s="10">
        <f t="shared" si="4"/>
        <v>45507</v>
      </c>
      <c r="B10" s="6">
        <v>706525.75</v>
      </c>
      <c r="C10" s="6">
        <v>652824.86</v>
      </c>
      <c r="D10" s="6">
        <v>13395</v>
      </c>
      <c r="E10" s="6">
        <f t="shared" ref="E10" si="9">B10-C10-D10</f>
        <v>40305.890000000014</v>
      </c>
      <c r="F10" s="6">
        <f>ROUND($E10*0.36,2)-0.01</f>
        <v>14510.11</v>
      </c>
      <c r="G10" s="6">
        <f>ROUND($E10*0.17,2)</f>
        <v>6852</v>
      </c>
      <c r="H10" s="6">
        <f>ROUND($E10*0.047,2)</f>
        <v>1894.38</v>
      </c>
      <c r="I10" s="6">
        <f>ROUND($E10*0.423,2)+0.01</f>
        <v>17049.399999999998</v>
      </c>
      <c r="J10" s="11">
        <f t="shared" ref="J10" si="10">E10/K10</f>
        <v>399.0682178217823</v>
      </c>
      <c r="K10" s="9">
        <v>101</v>
      </c>
    </row>
    <row r="11" spans="1:11" ht="15" customHeight="1" x14ac:dyDescent="0.25">
      <c r="A11" s="10">
        <f t="shared" si="4"/>
        <v>45514</v>
      </c>
      <c r="B11" s="6">
        <v>1495364.38</v>
      </c>
      <c r="C11" s="6">
        <v>1390700.36</v>
      </c>
      <c r="D11" s="6">
        <v>14585</v>
      </c>
      <c r="E11" s="6">
        <f t="shared" ref="E11" si="11">B11-C11-D11</f>
        <v>90079.019999999786</v>
      </c>
      <c r="F11" s="6">
        <f>ROUND($E11*0.36,2)</f>
        <v>32428.45</v>
      </c>
      <c r="G11" s="6">
        <f>ROUND($E11*0.17,2)+0.01</f>
        <v>15313.44</v>
      </c>
      <c r="H11" s="6">
        <f>ROUND($E11*0.047,2)</f>
        <v>4233.71</v>
      </c>
      <c r="I11" s="6">
        <f>ROUND($E11*0.423,2)-0.01</f>
        <v>38103.42</v>
      </c>
      <c r="J11" s="11">
        <f t="shared" ref="J11" si="12">E11/K11</f>
        <v>797.15946902654673</v>
      </c>
      <c r="K11" s="9">
        <v>113</v>
      </c>
    </row>
    <row r="12" spans="1:11" ht="15" customHeight="1" x14ac:dyDescent="0.25">
      <c r="A12" s="10">
        <f t="shared" si="4"/>
        <v>45521</v>
      </c>
      <c r="B12" s="6">
        <v>956870.07000000007</v>
      </c>
      <c r="C12" s="6">
        <v>918780.05</v>
      </c>
      <c r="D12" s="6">
        <v>8562</v>
      </c>
      <c r="E12" s="6">
        <f t="shared" ref="E12" si="13">B12-C12-D12</f>
        <v>29528.020000000019</v>
      </c>
      <c r="F12" s="6">
        <f>ROUND($E12*0.36,2)-0.03</f>
        <v>10630.06</v>
      </c>
      <c r="G12" s="6">
        <f>ROUND($E12*0.17,2)</f>
        <v>5019.76</v>
      </c>
      <c r="H12" s="6">
        <f>ROUND($E12*0.047,2)+0.01</f>
        <v>1387.83</v>
      </c>
      <c r="I12" s="6">
        <f>ROUND($E12*0.423,2)+0.02</f>
        <v>12490.37</v>
      </c>
      <c r="J12" s="11">
        <f t="shared" ref="J12" si="14">E12/K12</f>
        <v>320.95673913043498</v>
      </c>
      <c r="K12" s="9">
        <v>92</v>
      </c>
    </row>
    <row r="13" spans="1:11" ht="15" customHeight="1" x14ac:dyDescent="0.25">
      <c r="A13" s="10">
        <f t="shared" si="4"/>
        <v>45528</v>
      </c>
      <c r="B13" s="6">
        <v>819181.52</v>
      </c>
      <c r="C13" s="6">
        <v>727857.78</v>
      </c>
      <c r="D13" s="6">
        <v>14020</v>
      </c>
      <c r="E13" s="6">
        <f t="shared" ref="E13" si="15">B13-C13-D13</f>
        <v>77303.739999999991</v>
      </c>
      <c r="F13" s="6">
        <f>ROUND($E13*0.36,2)-0.01</f>
        <v>27829.34</v>
      </c>
      <c r="G13" s="6">
        <f>ROUND($E13*0.17,2)-0.01</f>
        <v>13141.63</v>
      </c>
      <c r="H13" s="6">
        <f>ROUND($E13*0.047,2)-0.01</f>
        <v>3633.27</v>
      </c>
      <c r="I13" s="6">
        <f>ROUND($E13*0.423,2)+0.02</f>
        <v>32699.5</v>
      </c>
      <c r="J13" s="11">
        <f t="shared" ref="J13" si="16">E13/K13</f>
        <v>750.52174757281546</v>
      </c>
      <c r="K13" s="9">
        <v>103</v>
      </c>
    </row>
    <row r="14" spans="1:11" ht="15" customHeight="1" x14ac:dyDescent="0.25">
      <c r="A14" s="10">
        <f t="shared" si="4"/>
        <v>45535</v>
      </c>
      <c r="B14" s="6">
        <v>807271.50999999989</v>
      </c>
      <c r="C14" s="6">
        <v>753980.10999999987</v>
      </c>
      <c r="D14" s="6">
        <v>5090</v>
      </c>
      <c r="E14" s="6">
        <f t="shared" ref="E14" si="17">B14-C14-D14</f>
        <v>48201.400000000023</v>
      </c>
      <c r="F14" s="6">
        <f>ROUND($E14*0.36,2)</f>
        <v>17352.5</v>
      </c>
      <c r="G14" s="6">
        <f>ROUND($E14*0.17,2)-0.01</f>
        <v>8194.23</v>
      </c>
      <c r="H14" s="6">
        <f>ROUND($E14*0.047,2)</f>
        <v>2265.4699999999998</v>
      </c>
      <c r="I14" s="6">
        <f>ROUND($E14*0.423,2)+0.01</f>
        <v>20389.199999999997</v>
      </c>
      <c r="J14" s="11">
        <f t="shared" ref="J14" si="18">E14/K14</f>
        <v>415.52931034482776</v>
      </c>
      <c r="K14" s="9">
        <v>116</v>
      </c>
    </row>
    <row r="15" spans="1:11" ht="15" customHeight="1" x14ac:dyDescent="0.25">
      <c r="A15" s="10">
        <f t="shared" si="4"/>
        <v>45542</v>
      </c>
      <c r="B15" s="6">
        <v>941660.37999999989</v>
      </c>
      <c r="C15" s="6">
        <v>873660.37</v>
      </c>
      <c r="D15" s="6">
        <v>14756</v>
      </c>
      <c r="E15" s="6">
        <f t="shared" ref="E15" si="19">B15-C15-D15</f>
        <v>53244.009999999893</v>
      </c>
      <c r="F15" s="6">
        <f>ROUND($E15*0.36,2)+0.02</f>
        <v>19167.86</v>
      </c>
      <c r="G15" s="6">
        <f>ROUND($E15*0.17,2)-0.01</f>
        <v>9051.4699999999993</v>
      </c>
      <c r="H15" s="6">
        <f>ROUND($E15*0.047,2)-0.01</f>
        <v>2502.4599999999996</v>
      </c>
      <c r="I15" s="6">
        <f>ROUND($E15*0.423,2)</f>
        <v>22522.22</v>
      </c>
      <c r="J15" s="11">
        <f t="shared" ref="J15" si="20">E15/K15</f>
        <v>493.00009259259161</v>
      </c>
      <c r="K15" s="9">
        <v>108</v>
      </c>
    </row>
    <row r="16" spans="1:11" ht="15" customHeight="1" x14ac:dyDescent="0.25">
      <c r="A16" s="10">
        <f t="shared" si="4"/>
        <v>45549</v>
      </c>
      <c r="B16" s="6">
        <v>1048330.16</v>
      </c>
      <c r="C16" s="6">
        <v>995338.59</v>
      </c>
      <c r="D16" s="6">
        <v>7684</v>
      </c>
      <c r="E16" s="6">
        <f t="shared" ref="E16" si="21">B16-C16-D16</f>
        <v>45307.570000000065</v>
      </c>
      <c r="F16" s="6">
        <f>ROUND($E16*0.36,2)-0.02</f>
        <v>16310.71</v>
      </c>
      <c r="G16" s="6">
        <f>ROUND($E16*0.17,2)</f>
        <v>7702.29</v>
      </c>
      <c r="H16" s="6">
        <f>ROUND($E16*0.047,2)+0.01</f>
        <v>2129.4700000000003</v>
      </c>
      <c r="I16" s="6">
        <f>ROUND($E16*0.423,2)</f>
        <v>19165.099999999999</v>
      </c>
      <c r="J16" s="11">
        <f t="shared" ref="J16" si="22">E16/K16</f>
        <v>439.87932038835015</v>
      </c>
      <c r="K16" s="9">
        <v>103</v>
      </c>
    </row>
    <row r="17" spans="1:11" ht="15" customHeight="1" x14ac:dyDescent="0.25">
      <c r="A17" s="10">
        <f t="shared" si="4"/>
        <v>45556</v>
      </c>
      <c r="B17" s="6">
        <v>737267.5</v>
      </c>
      <c r="C17" s="6">
        <v>622909.30000000005</v>
      </c>
      <c r="D17" s="6">
        <v>11760</v>
      </c>
      <c r="E17" s="6">
        <f t="shared" ref="E17" si="23">B17-C17-D17</f>
        <v>102598.19999999995</v>
      </c>
      <c r="F17" s="6">
        <f>ROUND($E17*0.36,2)</f>
        <v>36935.35</v>
      </c>
      <c r="G17" s="6">
        <f>ROUND($E17*0.17,2)+0.01</f>
        <v>17441.699999999997</v>
      </c>
      <c r="H17" s="6">
        <f>ROUND($E17*0.047,2)-0.01</f>
        <v>4822.1099999999997</v>
      </c>
      <c r="I17" s="6">
        <f>ROUND($E17*0.423,2)</f>
        <v>43399.040000000001</v>
      </c>
      <c r="J17" s="11">
        <f t="shared" ref="J17" si="24">E17/K17</f>
        <v>899.98421052631534</v>
      </c>
      <c r="K17" s="9">
        <v>114</v>
      </c>
    </row>
    <row r="18" spans="1:11" ht="15" customHeight="1" x14ac:dyDescent="0.25">
      <c r="A18" s="10">
        <f t="shared" si="4"/>
        <v>45563</v>
      </c>
      <c r="B18" s="6">
        <v>376569.04000000004</v>
      </c>
      <c r="C18" s="6">
        <v>351398.45000000007</v>
      </c>
      <c r="D18" s="6">
        <v>6560</v>
      </c>
      <c r="E18" s="6">
        <f t="shared" ref="E18" si="25">B18-C18-D18</f>
        <v>18610.589999999967</v>
      </c>
      <c r="F18" s="6">
        <f>ROUND($E18*0.36,2)-0.01</f>
        <v>6699.8</v>
      </c>
      <c r="G18" s="6">
        <f>ROUND($E18*0.17,2)</f>
        <v>3163.8</v>
      </c>
      <c r="H18" s="6">
        <f>ROUND($E18*0.047,2)+0.01</f>
        <v>874.71</v>
      </c>
      <c r="I18" s="6">
        <f>ROUND($E18*0.423,2)</f>
        <v>7872.28</v>
      </c>
      <c r="J18" s="11">
        <f t="shared" ref="J18" si="26">E18/K18</f>
        <v>195.9009473684207</v>
      </c>
      <c r="K18" s="9">
        <v>95</v>
      </c>
    </row>
    <row r="19" spans="1:11" ht="15" customHeight="1" x14ac:dyDescent="0.25">
      <c r="A19" s="10">
        <f t="shared" si="4"/>
        <v>45570</v>
      </c>
      <c r="B19" s="6">
        <v>583167.92000000004</v>
      </c>
      <c r="C19" s="6">
        <v>557519.47</v>
      </c>
      <c r="D19" s="6">
        <v>10736</v>
      </c>
      <c r="E19" s="6">
        <f t="shared" ref="E19" si="27">B19-C19-D19</f>
        <v>14912.45000000007</v>
      </c>
      <c r="F19" s="6">
        <f>ROUND($E19*0.36,2)-0.01</f>
        <v>5368.4699999999993</v>
      </c>
      <c r="G19" s="6">
        <f>ROUND($E19*0.17,2)</f>
        <v>2535.12</v>
      </c>
      <c r="H19" s="6">
        <f>ROUND($E19*0.047,2)</f>
        <v>700.89</v>
      </c>
      <c r="I19" s="6">
        <f>ROUND($E19*0.423,2)</f>
        <v>6307.97</v>
      </c>
      <c r="J19" s="11">
        <f t="shared" ref="J19" si="28">E19/K19</f>
        <v>146.20049019607913</v>
      </c>
      <c r="K19" s="9">
        <v>102</v>
      </c>
    </row>
    <row r="20" spans="1:11" ht="15" customHeight="1" x14ac:dyDescent="0.25">
      <c r="A20" s="10">
        <f t="shared" si="4"/>
        <v>45577</v>
      </c>
      <c r="B20" s="6">
        <v>748855.47</v>
      </c>
      <c r="C20" s="6">
        <v>680882.78</v>
      </c>
      <c r="D20" s="6">
        <v>11309</v>
      </c>
      <c r="E20" s="6">
        <f t="shared" ref="E20" si="29">B20-C20-D20</f>
        <v>56663.689999999944</v>
      </c>
      <c r="F20" s="6">
        <f>ROUND($E20*0.36,2)-0.01</f>
        <v>20398.920000000002</v>
      </c>
      <c r="G20" s="6">
        <f>ROUND($E20*0.17,2)</f>
        <v>9632.83</v>
      </c>
      <c r="H20" s="6">
        <f>ROUND($E20*0.047,2)</f>
        <v>2663.19</v>
      </c>
      <c r="I20" s="6">
        <f>ROUND($E20*0.423,2)+0.01</f>
        <v>23968.75</v>
      </c>
      <c r="J20" s="11">
        <f t="shared" ref="J20" si="30">E20/K20</f>
        <v>524.6637962962958</v>
      </c>
      <c r="K20" s="9">
        <v>108</v>
      </c>
    </row>
    <row r="21" spans="1:11" ht="15" customHeight="1" x14ac:dyDescent="0.25">
      <c r="A21" s="10">
        <f t="shared" si="4"/>
        <v>45584</v>
      </c>
      <c r="B21" s="6">
        <v>768788.5</v>
      </c>
      <c r="C21" s="6">
        <v>727275.11999999988</v>
      </c>
      <c r="D21" s="6">
        <v>12996</v>
      </c>
      <c r="E21" s="6">
        <f t="shared" ref="E21" si="31">B21-C21-D21</f>
        <v>28517.380000000121</v>
      </c>
      <c r="F21" s="6">
        <f>ROUND($E21*0.36,2)-0.01</f>
        <v>10266.25</v>
      </c>
      <c r="G21" s="6">
        <f>ROUND($E21*0.17,2)+0.01</f>
        <v>4847.96</v>
      </c>
      <c r="H21" s="6">
        <f>ROUND($E21*0.047,2)</f>
        <v>1340.32</v>
      </c>
      <c r="I21" s="6">
        <f>ROUND($E21*0.423,2)</f>
        <v>12062.85</v>
      </c>
      <c r="J21" s="11">
        <f t="shared" ref="J21" si="32">E21/K21</f>
        <v>239.64184873949682</v>
      </c>
      <c r="K21" s="9">
        <v>119</v>
      </c>
    </row>
    <row r="22" spans="1:11" ht="15" customHeight="1" x14ac:dyDescent="0.25">
      <c r="A22" s="10">
        <f t="shared" si="4"/>
        <v>45591</v>
      </c>
      <c r="B22" s="6">
        <v>1027884.7999999999</v>
      </c>
      <c r="C22" s="6">
        <v>939607.52</v>
      </c>
      <c r="D22" s="6">
        <v>13918</v>
      </c>
      <c r="E22" s="6">
        <f t="shared" ref="E22" si="33">B22-C22-D22</f>
        <v>74359.279999999912</v>
      </c>
      <c r="F22" s="6">
        <f>ROUND($E22*0.36,2)+0.01</f>
        <v>26769.35</v>
      </c>
      <c r="G22" s="6">
        <f>ROUND($E22*0.17,2)-0.01</f>
        <v>12641.07</v>
      </c>
      <c r="H22" s="6">
        <f>ROUND($E22*0.047,2)</f>
        <v>3494.89</v>
      </c>
      <c r="I22" s="6">
        <f>ROUND($E22*0.423,2)-0.01</f>
        <v>31453.97</v>
      </c>
      <c r="J22" s="11">
        <f t="shared" ref="J22" si="34">E22/K22</f>
        <v>614.53950413223072</v>
      </c>
      <c r="K22" s="9">
        <v>121</v>
      </c>
    </row>
    <row r="23" spans="1:11" ht="15" customHeight="1" x14ac:dyDescent="0.25">
      <c r="A23" s="10">
        <f t="shared" ref="A23:A57" si="35">A22+7</f>
        <v>45598</v>
      </c>
      <c r="B23" s="6">
        <v>1237822.46</v>
      </c>
      <c r="C23" s="6">
        <v>1081970.5299999998</v>
      </c>
      <c r="D23" s="6">
        <v>28995</v>
      </c>
      <c r="E23" s="6">
        <f t="shared" ref="E23" si="36">B23-C23-D23</f>
        <v>126856.93000000017</v>
      </c>
      <c r="F23" s="6">
        <f>ROUND($E23*0.36,2)-0.02</f>
        <v>45668.47</v>
      </c>
      <c r="G23" s="6">
        <f>ROUND($E23*0.17,2)</f>
        <v>21565.68</v>
      </c>
      <c r="H23" s="6">
        <f>ROUND($E23*0.047,2)+0.01</f>
        <v>5962.29</v>
      </c>
      <c r="I23" s="6">
        <f>ROUND($E23*0.423,2)+0.01</f>
        <v>53660.490000000005</v>
      </c>
      <c r="J23" s="11">
        <f t="shared" ref="J23" si="37">E23/K23</f>
        <v>1163.8250458715611</v>
      </c>
      <c r="K23" s="9">
        <v>109</v>
      </c>
    </row>
    <row r="24" spans="1:11" ht="15" customHeight="1" x14ac:dyDescent="0.25">
      <c r="A24" s="10">
        <f t="shared" si="35"/>
        <v>45605</v>
      </c>
      <c r="B24" s="6">
        <v>948403.21</v>
      </c>
      <c r="C24" s="6">
        <v>935490.38000000012</v>
      </c>
      <c r="D24" s="6">
        <v>11280</v>
      </c>
      <c r="E24" s="6">
        <f t="shared" ref="E24" si="38">B24-C24-D24</f>
        <v>1632.8299999998417</v>
      </c>
      <c r="F24" s="6">
        <f>ROUND($E24*0.36,2)-0.01</f>
        <v>587.81000000000006</v>
      </c>
      <c r="G24" s="6">
        <f>ROUND($E24*0.17,2)+0.01</f>
        <v>277.58999999999997</v>
      </c>
      <c r="H24" s="6">
        <f>ROUND($E24*0.047,2)</f>
        <v>76.739999999999995</v>
      </c>
      <c r="I24" s="6">
        <f>ROUND($E24*0.423,2)</f>
        <v>690.69</v>
      </c>
      <c r="J24" s="11">
        <f t="shared" ref="J24" si="39">E24/K24</f>
        <v>14.449823008848156</v>
      </c>
      <c r="K24" s="9">
        <v>113</v>
      </c>
    </row>
    <row r="25" spans="1:11" ht="15" customHeight="1" x14ac:dyDescent="0.25">
      <c r="A25" s="10">
        <f t="shared" si="35"/>
        <v>45612</v>
      </c>
      <c r="B25" s="6">
        <v>520994.77</v>
      </c>
      <c r="C25" s="6">
        <v>479931.55</v>
      </c>
      <c r="D25" s="6">
        <v>9263</v>
      </c>
      <c r="E25" s="6">
        <f t="shared" ref="E25" si="40">B25-C25-D25</f>
        <v>31800.22000000003</v>
      </c>
      <c r="F25" s="6">
        <f>ROUND($E25*0.36,2)</f>
        <v>11448.08</v>
      </c>
      <c r="G25" s="6">
        <f>ROUND($E25*0.17,2)+0.01</f>
        <v>5406.05</v>
      </c>
      <c r="H25" s="6">
        <f>ROUND($E25*0.047,2)</f>
        <v>1494.61</v>
      </c>
      <c r="I25" s="6">
        <f>ROUND($E25*0.423,2)-0.01</f>
        <v>13451.48</v>
      </c>
      <c r="J25" s="11">
        <f t="shared" ref="J25" si="41">E25/K25</f>
        <v>321.21434343434373</v>
      </c>
      <c r="K25" s="9">
        <v>99</v>
      </c>
    </row>
    <row r="26" spans="1:11" ht="15" customHeight="1" x14ac:dyDescent="0.25">
      <c r="A26" s="10">
        <f t="shared" si="35"/>
        <v>45619</v>
      </c>
      <c r="B26" s="6">
        <v>1117432.3500000001</v>
      </c>
      <c r="C26" s="6">
        <v>1001106.4</v>
      </c>
      <c r="D26" s="6">
        <v>17934.8</v>
      </c>
      <c r="E26" s="6">
        <f t="shared" ref="E26" si="42">B26-C26-D26</f>
        <v>98391.150000000067</v>
      </c>
      <c r="F26" s="6">
        <f>ROUND($E26*0.36,2)-0.01</f>
        <v>35420.799999999996</v>
      </c>
      <c r="G26" s="6">
        <f>ROUND($E26*0.17,2)</f>
        <v>16726.5</v>
      </c>
      <c r="H26" s="6">
        <f>ROUND($E26*0.047,2)+0.01</f>
        <v>4624.3900000000003</v>
      </c>
      <c r="I26" s="6">
        <f>ROUND($E26*0.423,2)</f>
        <v>41619.46</v>
      </c>
      <c r="J26" s="11">
        <f t="shared" ref="J26" si="43">E26/K26</f>
        <v>855.57521739130493</v>
      </c>
      <c r="K26" s="9">
        <v>115</v>
      </c>
    </row>
    <row r="27" spans="1:11" ht="15" customHeight="1" x14ac:dyDescent="0.25">
      <c r="A27" s="10">
        <f t="shared" si="35"/>
        <v>45626</v>
      </c>
      <c r="B27" s="6">
        <v>1323692.3199999998</v>
      </c>
      <c r="C27" s="6">
        <v>1274959.92</v>
      </c>
      <c r="D27" s="6">
        <v>11406</v>
      </c>
      <c r="E27" s="6">
        <f t="shared" ref="E27" si="44">B27-C27-D27</f>
        <v>37326.399999999907</v>
      </c>
      <c r="F27" s="6">
        <f>ROUND($E27*0.36,2)</f>
        <v>13437.5</v>
      </c>
      <c r="G27" s="6">
        <f>ROUND($E27*0.17,2)</f>
        <v>6345.49</v>
      </c>
      <c r="H27" s="6">
        <f>ROUND($E27*0.047,2)</f>
        <v>1754.34</v>
      </c>
      <c r="I27" s="6">
        <f>ROUND($E27*0.423,2)</f>
        <v>15789.07</v>
      </c>
      <c r="J27" s="11">
        <f t="shared" ref="J27" si="45">E27/K27</f>
        <v>345.61481481481394</v>
      </c>
      <c r="K27" s="9">
        <v>108</v>
      </c>
    </row>
    <row r="28" spans="1:11" ht="15" customHeight="1" x14ac:dyDescent="0.25">
      <c r="A28" s="10">
        <f t="shared" si="35"/>
        <v>45633</v>
      </c>
      <c r="B28" s="6">
        <v>974768.57000000007</v>
      </c>
      <c r="C28" s="6">
        <v>879198.14</v>
      </c>
      <c r="D28" s="6">
        <v>28702</v>
      </c>
      <c r="E28" s="6">
        <f t="shared" ref="E28" si="46">B28-C28-D28</f>
        <v>66868.430000000051</v>
      </c>
      <c r="F28" s="6">
        <f>ROUND($E28*0.36,2)+0.01</f>
        <v>24072.639999999999</v>
      </c>
      <c r="G28" s="6">
        <f>ROUND($E28*0.17,2)</f>
        <v>11367.63</v>
      </c>
      <c r="H28" s="6">
        <f>ROUND($E28*0.047,2)</f>
        <v>3142.82</v>
      </c>
      <c r="I28" s="6">
        <f>ROUND($E28*0.423,2)-0.01</f>
        <v>28285.34</v>
      </c>
      <c r="J28" s="11">
        <f t="shared" ref="J28" si="47">E28/K28</f>
        <v>543.64577235772401</v>
      </c>
      <c r="K28" s="9">
        <v>123</v>
      </c>
    </row>
    <row r="29" spans="1:11" ht="15" customHeight="1" x14ac:dyDescent="0.25">
      <c r="A29" s="10">
        <f t="shared" si="35"/>
        <v>45640</v>
      </c>
      <c r="B29" s="6">
        <v>834353.84000000008</v>
      </c>
      <c r="C29" s="6">
        <v>727947.48</v>
      </c>
      <c r="D29" s="6">
        <v>43831</v>
      </c>
      <c r="E29" s="6">
        <f t="shared" ref="E29" si="48">B29-C29-D29</f>
        <v>62575.360000000102</v>
      </c>
      <c r="F29" s="6">
        <f>ROUND($E29*0.36,2)-0.01</f>
        <v>22527.120000000003</v>
      </c>
      <c r="G29" s="6">
        <f>ROUND($E29*0.17,2)</f>
        <v>10637.81</v>
      </c>
      <c r="H29" s="6">
        <f>ROUND($E29*0.047,2)</f>
        <v>2941.04</v>
      </c>
      <c r="I29" s="6">
        <f>ROUND($E29*0.423,2)+0.01</f>
        <v>26469.39</v>
      </c>
      <c r="J29" s="11">
        <f t="shared" ref="J29" si="49">E29/K29</f>
        <v>500.60288000000082</v>
      </c>
      <c r="K29" s="9">
        <v>125</v>
      </c>
    </row>
    <row r="30" spans="1:11" ht="15" customHeight="1" x14ac:dyDescent="0.25">
      <c r="A30" s="10">
        <f t="shared" si="35"/>
        <v>45647</v>
      </c>
      <c r="B30" s="6">
        <v>1288580.69</v>
      </c>
      <c r="C30" s="6">
        <v>1146133.71</v>
      </c>
      <c r="D30" s="6">
        <v>45143</v>
      </c>
      <c r="E30" s="6">
        <f t="shared" ref="E30" si="50">B30-C30-D30</f>
        <v>97303.979999999981</v>
      </c>
      <c r="F30" s="6">
        <f>ROUND($E30*0.36,2)+0.01</f>
        <v>35029.440000000002</v>
      </c>
      <c r="G30" s="6">
        <f>ROUND($E30*0.17,2)-0.01</f>
        <v>16541.670000000002</v>
      </c>
      <c r="H30" s="6">
        <f>ROUND($E30*0.047,2)-0.01</f>
        <v>4573.28</v>
      </c>
      <c r="I30" s="6">
        <f>ROUND($E30*0.423,2)+0.01</f>
        <v>41159.590000000004</v>
      </c>
      <c r="J30" s="11">
        <f t="shared" ref="J30" si="51">E30/K30</f>
        <v>778.43183999999985</v>
      </c>
      <c r="K30" s="9">
        <v>125</v>
      </c>
    </row>
    <row r="31" spans="1:11" ht="15" customHeight="1" x14ac:dyDescent="0.25">
      <c r="A31" s="10">
        <f t="shared" si="35"/>
        <v>45654</v>
      </c>
      <c r="B31" s="6">
        <v>1521434.16</v>
      </c>
      <c r="C31" s="6">
        <v>1422975.48</v>
      </c>
      <c r="D31" s="6">
        <v>35792</v>
      </c>
      <c r="E31" s="6">
        <f t="shared" ref="E31" si="52">B31-C31-D31</f>
        <v>62666.679999999935</v>
      </c>
      <c r="F31" s="6">
        <f>ROUND($E31*0.36,2)+0.01</f>
        <v>22560.01</v>
      </c>
      <c r="G31" s="6">
        <f>ROUND($E31*0.17,2)-0.01</f>
        <v>10653.33</v>
      </c>
      <c r="H31" s="6">
        <f>ROUND($E31*0.047,2)+0.01</f>
        <v>2945.34</v>
      </c>
      <c r="I31" s="6">
        <f>ROUND($E31*0.423,2)-0.01</f>
        <v>26508</v>
      </c>
      <c r="J31" s="11">
        <f t="shared" ref="J31" si="53">E31/K31</f>
        <v>659.6492631578941</v>
      </c>
      <c r="K31" s="9">
        <v>95</v>
      </c>
    </row>
    <row r="32" spans="1:11" ht="15" customHeight="1" x14ac:dyDescent="0.25">
      <c r="A32" s="10">
        <f t="shared" si="35"/>
        <v>45661</v>
      </c>
      <c r="B32" s="6">
        <v>1805349.73</v>
      </c>
      <c r="C32" s="6">
        <v>1621388.5399999998</v>
      </c>
      <c r="D32" s="6">
        <v>29009</v>
      </c>
      <c r="E32" s="6">
        <f t="shared" ref="E32" si="54">B32-C32-D32</f>
        <v>154952.19000000018</v>
      </c>
      <c r="F32" s="6">
        <f>ROUND($E32*0.36,2)-0.01</f>
        <v>55782.78</v>
      </c>
      <c r="G32" s="6">
        <f>ROUND($E32*0.17,2)-0.01</f>
        <v>26341.86</v>
      </c>
      <c r="H32" s="6">
        <f>ROUND($E32*0.047,2)+0.02</f>
        <v>7282.77</v>
      </c>
      <c r="I32" s="6">
        <f>ROUND($E32*0.423,2)</f>
        <v>65544.78</v>
      </c>
      <c r="J32" s="11">
        <f t="shared" ref="J32" si="55">E32/K32</f>
        <v>1220.0959842519699</v>
      </c>
      <c r="K32" s="9">
        <v>127</v>
      </c>
    </row>
    <row r="33" spans="1:11" ht="15" customHeight="1" x14ac:dyDescent="0.25">
      <c r="A33" s="10">
        <f t="shared" si="35"/>
        <v>45668</v>
      </c>
      <c r="B33" s="6">
        <v>382611.3</v>
      </c>
      <c r="C33" s="6">
        <v>366598.19</v>
      </c>
      <c r="D33" s="6">
        <v>1050</v>
      </c>
      <c r="E33" s="6">
        <f t="shared" ref="E33" si="56">B33-C33-D33</f>
        <v>14963.109999999986</v>
      </c>
      <c r="F33" s="6">
        <f>ROUND($E33*0.36,2)-0.02</f>
        <v>5386.7</v>
      </c>
      <c r="G33" s="6">
        <f>ROUND($E33*0.17,2)-0.01</f>
        <v>2543.7199999999998</v>
      </c>
      <c r="H33" s="6">
        <f>ROUND($E33*0.047,2)</f>
        <v>703.27</v>
      </c>
      <c r="I33" s="6">
        <f>ROUND($E33*0.423,2)+0.02</f>
        <v>6329.42</v>
      </c>
      <c r="J33" s="11">
        <f t="shared" ref="J33" si="57">E33/K33</f>
        <v>223.32999999999979</v>
      </c>
      <c r="K33" s="9">
        <v>67</v>
      </c>
    </row>
    <row r="34" spans="1:11" ht="15" customHeight="1" x14ac:dyDescent="0.25">
      <c r="A34" s="10">
        <f t="shared" si="35"/>
        <v>45675</v>
      </c>
      <c r="B34" s="6">
        <v>511243.02</v>
      </c>
      <c r="C34" s="6">
        <v>442998.15</v>
      </c>
      <c r="D34" s="6">
        <v>11282</v>
      </c>
      <c r="E34" s="6">
        <f t="shared" ref="E34" si="58">B34-C34-D34</f>
        <v>56962.869999999995</v>
      </c>
      <c r="F34" s="6">
        <f>ROUND($E34*0.36,2)+0.01</f>
        <v>20506.64</v>
      </c>
      <c r="G34" s="6">
        <f>ROUND($E34*0.17,2)-0.01</f>
        <v>9683.68</v>
      </c>
      <c r="H34" s="6">
        <f>ROUND($E34*0.047,2)+0.01</f>
        <v>2677.26</v>
      </c>
      <c r="I34" s="6">
        <f>ROUND($E34*0.423,2)</f>
        <v>24095.29</v>
      </c>
      <c r="J34" s="11">
        <f t="shared" ref="J34" si="59">E34/K34</f>
        <v>769.76851351351343</v>
      </c>
      <c r="K34" s="9">
        <v>74</v>
      </c>
    </row>
    <row r="35" spans="1:11" ht="15" customHeight="1" x14ac:dyDescent="0.25">
      <c r="A35" s="10">
        <f t="shared" si="35"/>
        <v>45682</v>
      </c>
      <c r="B35" s="6">
        <v>833082.15999999992</v>
      </c>
      <c r="C35" s="6">
        <v>723115.24</v>
      </c>
      <c r="D35" s="6">
        <v>6370</v>
      </c>
      <c r="E35" s="6">
        <f t="shared" ref="E35" si="60">B35-C35-D35</f>
        <v>103596.91999999993</v>
      </c>
      <c r="F35" s="6">
        <f>ROUND($E35*0.36,2)</f>
        <v>37294.89</v>
      </c>
      <c r="G35" s="6">
        <f>ROUND($E35*0.17,2)</f>
        <v>17611.48</v>
      </c>
      <c r="H35" s="6">
        <f>ROUND($E35*0.047,2)</f>
        <v>4869.0600000000004</v>
      </c>
      <c r="I35" s="6">
        <f>ROUND($E35*0.423,2)-0.01</f>
        <v>43821.49</v>
      </c>
      <c r="J35" s="11">
        <f t="shared" ref="J35" si="61">E35/K35</f>
        <v>863.30766666666602</v>
      </c>
      <c r="K35" s="9">
        <v>120</v>
      </c>
    </row>
    <row r="36" spans="1:11" ht="15" customHeight="1" x14ac:dyDescent="0.25">
      <c r="A36" s="10">
        <f t="shared" si="35"/>
        <v>45689</v>
      </c>
      <c r="B36" s="6">
        <v>525259.92999999993</v>
      </c>
      <c r="C36" s="6">
        <v>472104.84</v>
      </c>
      <c r="D36" s="6">
        <v>10535</v>
      </c>
      <c r="E36" s="6">
        <f t="shared" ref="E36" si="62">B36-C36-D36</f>
        <v>42620.089999999909</v>
      </c>
      <c r="F36" s="6">
        <f>ROUND($E36*0.36,2)+0.03</f>
        <v>15343.26</v>
      </c>
      <c r="G36" s="6">
        <f>ROUND($E36*0.17,2)-0.01</f>
        <v>7245.41</v>
      </c>
      <c r="H36" s="6">
        <f>ROUND($E36*0.047,2)-0.01</f>
        <v>2003.13</v>
      </c>
      <c r="I36" s="6">
        <f>ROUND($E36*0.423,2)-0.01</f>
        <v>18028.29</v>
      </c>
      <c r="J36" s="11">
        <f t="shared" ref="J36" si="63">E36/K36</f>
        <v>478.87741573033605</v>
      </c>
      <c r="K36" s="9">
        <v>89</v>
      </c>
    </row>
    <row r="37" spans="1:11" ht="15" customHeight="1" x14ac:dyDescent="0.25">
      <c r="A37" s="10">
        <f t="shared" si="35"/>
        <v>45696</v>
      </c>
      <c r="B37" s="6">
        <v>1004894.75</v>
      </c>
      <c r="C37" s="6">
        <v>873498.12000000011</v>
      </c>
      <c r="D37" s="6">
        <v>10985</v>
      </c>
      <c r="E37" s="6">
        <f t="shared" ref="E37" si="64">B37-C37-D37</f>
        <v>120411.62999999989</v>
      </c>
      <c r="F37" s="6">
        <f>ROUND($E37*0.36,2)-0.02</f>
        <v>43348.170000000006</v>
      </c>
      <c r="G37" s="6">
        <f>ROUND($E37*0.17,2)</f>
        <v>20469.98</v>
      </c>
      <c r="H37" s="6">
        <f>ROUND($E37*0.047,2)</f>
        <v>5659.35</v>
      </c>
      <c r="I37" s="6">
        <f>ROUND($E37*0.423,2)+0.01</f>
        <v>50934.130000000005</v>
      </c>
      <c r="J37" s="11">
        <f t="shared" ref="J37:J42" si="65">E37/K37</f>
        <v>1400.1352325581383</v>
      </c>
      <c r="K37" s="9">
        <v>86</v>
      </c>
    </row>
    <row r="38" spans="1:11" ht="15" customHeight="1" x14ac:dyDescent="0.25">
      <c r="A38" s="10">
        <f t="shared" si="35"/>
        <v>45703</v>
      </c>
      <c r="B38" s="6">
        <v>1617429.03</v>
      </c>
      <c r="C38" s="6">
        <v>1588413.52</v>
      </c>
      <c r="D38" s="6">
        <v>59708</v>
      </c>
      <c r="E38" s="6">
        <f t="shared" ref="E38" si="66">B38-C38-D38</f>
        <v>-30692.489999999991</v>
      </c>
      <c r="F38" s="6">
        <f>ROUND($E38*0.36,2)+0.01</f>
        <v>-11049.289999999999</v>
      </c>
      <c r="G38" s="6">
        <f>ROUND($E38*0.17,2)-0.01</f>
        <v>-5217.7300000000005</v>
      </c>
      <c r="H38" s="6">
        <f>ROUND($E38*0.047,2)</f>
        <v>-1442.55</v>
      </c>
      <c r="I38" s="6">
        <f>ROUND($E38*0.423,2)</f>
        <v>-12982.92</v>
      </c>
      <c r="J38" s="11">
        <f t="shared" si="65"/>
        <v>-274.0400892857142</v>
      </c>
      <c r="K38" s="9">
        <v>112</v>
      </c>
    </row>
    <row r="39" spans="1:11" ht="15" customHeight="1" x14ac:dyDescent="0.25">
      <c r="A39" s="10">
        <f t="shared" si="35"/>
        <v>45710</v>
      </c>
      <c r="B39" s="6">
        <v>1045929.23</v>
      </c>
      <c r="C39" s="6">
        <v>958001.44</v>
      </c>
      <c r="D39" s="6">
        <v>52055</v>
      </c>
      <c r="E39" s="6">
        <f t="shared" ref="E39" si="67">B39-C39-D39</f>
        <v>35872.790000000037</v>
      </c>
      <c r="F39" s="6">
        <f>ROUND($E39*0.36,2)</f>
        <v>12914.2</v>
      </c>
      <c r="G39" s="6">
        <f>ROUND($E39*0.17,2)+0.01</f>
        <v>6098.38</v>
      </c>
      <c r="H39" s="6">
        <f>ROUND($E39*0.047,2)</f>
        <v>1686.02</v>
      </c>
      <c r="I39" s="6">
        <f>ROUND($E39*0.423,2)</f>
        <v>15174.19</v>
      </c>
      <c r="J39" s="11">
        <f t="shared" si="65"/>
        <v>282.46291338582705</v>
      </c>
      <c r="K39" s="9">
        <v>127</v>
      </c>
    </row>
    <row r="40" spans="1:11" ht="15" customHeight="1" x14ac:dyDescent="0.25">
      <c r="A40" s="10">
        <f t="shared" si="35"/>
        <v>45717</v>
      </c>
      <c r="B40" s="6">
        <v>1105989.6000000001</v>
      </c>
      <c r="C40" s="6">
        <v>984760.7</v>
      </c>
      <c r="D40" s="6">
        <v>32544</v>
      </c>
      <c r="E40" s="6">
        <f t="shared" ref="E40" si="68">B40-C40-D40</f>
        <v>88684.90000000014</v>
      </c>
      <c r="F40" s="6">
        <f>ROUND($E40*0.36,2)-0.01</f>
        <v>31926.550000000003</v>
      </c>
      <c r="G40" s="6">
        <f>ROUND($E40*0.17,2)</f>
        <v>15076.43</v>
      </c>
      <c r="H40" s="6">
        <f>ROUND($E40*0.047,2)+0.01</f>
        <v>4168.2</v>
      </c>
      <c r="I40" s="6">
        <f>ROUND($E40*0.423,2)+0.01</f>
        <v>37513.72</v>
      </c>
      <c r="J40" s="11">
        <f t="shared" si="65"/>
        <v>798.96306306306428</v>
      </c>
      <c r="K40" s="9">
        <v>111</v>
      </c>
    </row>
    <row r="41" spans="1:11" ht="15" customHeight="1" x14ac:dyDescent="0.25">
      <c r="A41" s="10">
        <f t="shared" si="35"/>
        <v>45724</v>
      </c>
      <c r="B41" s="6">
        <v>417457.06</v>
      </c>
      <c r="C41" s="6">
        <v>335567</v>
      </c>
      <c r="D41" s="6">
        <v>19409</v>
      </c>
      <c r="E41" s="6">
        <f t="shared" ref="E41" si="69">B41-C41-D41</f>
        <v>62481.06</v>
      </c>
      <c r="F41" s="6">
        <f>ROUND($E41*0.36,2)+0.02</f>
        <v>22493.200000000001</v>
      </c>
      <c r="G41" s="6">
        <f>ROUND($E41*0.17,2)-0.01</f>
        <v>10621.77</v>
      </c>
      <c r="H41" s="6">
        <f>ROUND($E41*0.047,2)-0.01</f>
        <v>2936.6</v>
      </c>
      <c r="I41" s="6">
        <f>ROUND($E41*0.423,2)</f>
        <v>26429.49</v>
      </c>
      <c r="J41" s="11">
        <f t="shared" si="65"/>
        <v>790.89949367088605</v>
      </c>
      <c r="K41" s="9">
        <v>79</v>
      </c>
    </row>
    <row r="42" spans="1:11" ht="15" customHeight="1" x14ac:dyDescent="0.25">
      <c r="A42" s="10">
        <f t="shared" si="35"/>
        <v>45731</v>
      </c>
      <c r="B42" s="6">
        <v>720476.2</v>
      </c>
      <c r="C42" s="6">
        <v>767459.9</v>
      </c>
      <c r="D42" s="6">
        <v>8913</v>
      </c>
      <c r="E42" s="6">
        <f t="shared" ref="E42" si="70">B42-C42-D42</f>
        <v>-55896.70000000007</v>
      </c>
      <c r="F42" s="6">
        <f>ROUND($E42*0.36,2)</f>
        <v>-20122.810000000001</v>
      </c>
      <c r="G42" s="6">
        <f>ROUND($E42*0.17,2)</f>
        <v>-9502.44</v>
      </c>
      <c r="H42" s="6">
        <f>ROUND($E42*0.047,2)</f>
        <v>-2627.14</v>
      </c>
      <c r="I42" s="6">
        <f>ROUND($E42*0.423,2)-0.01</f>
        <v>-23644.309999999998</v>
      </c>
      <c r="J42" s="11">
        <f t="shared" si="65"/>
        <v>-621.07444444444525</v>
      </c>
      <c r="K42" s="9">
        <v>90</v>
      </c>
    </row>
    <row r="43" spans="1:11" ht="15" customHeight="1" x14ac:dyDescent="0.25">
      <c r="A43" s="10">
        <f t="shared" si="35"/>
        <v>45738</v>
      </c>
      <c r="B43" s="6">
        <v>1159654</v>
      </c>
      <c r="C43" s="6">
        <v>1074581.8799999999</v>
      </c>
      <c r="D43" s="6">
        <v>27741</v>
      </c>
      <c r="E43" s="6">
        <f t="shared" ref="E43" si="71">B43-C43-D43</f>
        <v>57331.120000000112</v>
      </c>
      <c r="F43" s="6">
        <f>ROUND($E43*0.36,2)+0.01</f>
        <v>20639.21</v>
      </c>
      <c r="G43" s="6">
        <f>ROUND($E43*0.17,2)</f>
        <v>9746.2900000000009</v>
      </c>
      <c r="H43" s="6">
        <f>ROUND($E43*0.047,2)</f>
        <v>2694.56</v>
      </c>
      <c r="I43" s="6">
        <f>ROUND($E43*0.423,2)</f>
        <v>24251.06</v>
      </c>
      <c r="J43" s="11">
        <f t="shared" ref="J43" si="72">E43/K43</f>
        <v>444.42728682170628</v>
      </c>
      <c r="K43" s="9">
        <v>129</v>
      </c>
    </row>
    <row r="44" spans="1:11" ht="15" customHeight="1" x14ac:dyDescent="0.25">
      <c r="A44" s="10">
        <f t="shared" si="35"/>
        <v>45745</v>
      </c>
      <c r="B44" s="6">
        <v>1498364.83</v>
      </c>
      <c r="C44" s="6">
        <v>1351424.53</v>
      </c>
      <c r="D44" s="6">
        <v>24789</v>
      </c>
      <c r="E44" s="6">
        <f t="shared" ref="E44" si="73">B44-C44-D44</f>
        <v>122151.30000000005</v>
      </c>
      <c r="F44" s="6">
        <f>ROUND($E44*0.36,2)-0.01</f>
        <v>43974.46</v>
      </c>
      <c r="G44" s="6">
        <f>ROUND($E44*0.17,2)</f>
        <v>20765.72</v>
      </c>
      <c r="H44" s="6">
        <f>ROUND($E44*0.047,2)</f>
        <v>5741.11</v>
      </c>
      <c r="I44" s="6">
        <f>ROUND($E44*0.423,2)+0.01</f>
        <v>51670.01</v>
      </c>
      <c r="J44" s="11">
        <f t="shared" ref="J44" si="74">E44/K44</f>
        <v>1185.9349514563112</v>
      </c>
      <c r="K44" s="9">
        <v>103</v>
      </c>
    </row>
    <row r="45" spans="1:11" ht="15" customHeight="1" x14ac:dyDescent="0.25">
      <c r="A45" s="10">
        <f t="shared" si="35"/>
        <v>45752</v>
      </c>
      <c r="B45" s="6">
        <v>594595.41</v>
      </c>
      <c r="C45" s="6">
        <v>487785.1700000001</v>
      </c>
      <c r="D45" s="6">
        <v>8107</v>
      </c>
      <c r="E45" s="6">
        <f t="shared" ref="E45" si="75">B45-C45-D45</f>
        <v>98703.239999999932</v>
      </c>
      <c r="F45" s="6">
        <f>ROUND($E45*0.36,2)-0.02</f>
        <v>35533.15</v>
      </c>
      <c r="G45" s="6">
        <f>ROUND($E45*0.17,2)-0.01</f>
        <v>16779.54</v>
      </c>
      <c r="H45" s="6">
        <f>ROUND($E45*0.047,2)+0.02</f>
        <v>4639.0700000000006</v>
      </c>
      <c r="I45" s="6">
        <f>ROUND($E45*0.423,2)+0.01</f>
        <v>41751.480000000003</v>
      </c>
      <c r="J45" s="11">
        <f t="shared" ref="J45" si="76">E45/K45</f>
        <v>940.03085714285646</v>
      </c>
      <c r="K45" s="9">
        <v>105</v>
      </c>
    </row>
    <row r="46" spans="1:11" ht="15" customHeight="1" x14ac:dyDescent="0.25">
      <c r="A46" s="10">
        <f t="shared" si="35"/>
        <v>45759</v>
      </c>
      <c r="B46" s="6">
        <v>777077.66</v>
      </c>
      <c r="C46" s="6">
        <v>756216.01</v>
      </c>
      <c r="D46" s="6">
        <v>24450</v>
      </c>
      <c r="E46" s="6">
        <f t="shared" ref="E46" si="77">B46-C46-D46</f>
        <v>-3588.3499999999767</v>
      </c>
      <c r="F46" s="6">
        <f>ROUND($E46*0.36,2)-0.03</f>
        <v>-1291.8399999999999</v>
      </c>
      <c r="G46" s="6">
        <f>ROUND($E46*0.17,2)+0.02</f>
        <v>-610</v>
      </c>
      <c r="H46" s="6">
        <f>ROUND($E46*0.047,2)+0.01</f>
        <v>-168.64000000000001</v>
      </c>
      <c r="I46" s="6">
        <f>ROUND($E46*0.423,2)</f>
        <v>-1517.87</v>
      </c>
      <c r="J46" s="11">
        <f t="shared" ref="J46" si="78">E46/K46</f>
        <v>-33.225462962962744</v>
      </c>
      <c r="K46" s="9">
        <v>108</v>
      </c>
    </row>
    <row r="47" spans="1:11" ht="15" customHeight="1" x14ac:dyDescent="0.25">
      <c r="A47" s="10">
        <f t="shared" si="35"/>
        <v>45766</v>
      </c>
      <c r="B47" s="6">
        <v>686372.61</v>
      </c>
      <c r="C47" s="6">
        <v>610590.19999999995</v>
      </c>
      <c r="D47" s="6">
        <v>7587</v>
      </c>
      <c r="E47" s="6">
        <f t="shared" ref="E47" si="79">B47-C47-D47</f>
        <v>68195.410000000033</v>
      </c>
      <c r="F47" s="6">
        <f>ROUND($E47*0.36,2)</f>
        <v>24550.35</v>
      </c>
      <c r="G47" s="6">
        <f>ROUND($E47*0.17,2)</f>
        <v>11593.22</v>
      </c>
      <c r="H47" s="6">
        <f>ROUND($E47*0.047,2)+0.01</f>
        <v>3205.19</v>
      </c>
      <c r="I47" s="6">
        <f>ROUND($E47*0.423,2)-0.01</f>
        <v>28846.65</v>
      </c>
      <c r="J47" s="11">
        <f t="shared" ref="J47" si="80">E47/K47</f>
        <v>649.4800952380956</v>
      </c>
      <c r="K47" s="9">
        <v>105</v>
      </c>
    </row>
    <row r="48" spans="1:11" ht="15" customHeight="1" x14ac:dyDescent="0.25">
      <c r="A48" s="10">
        <f t="shared" si="35"/>
        <v>45773</v>
      </c>
      <c r="B48" s="6">
        <v>662280.59</v>
      </c>
      <c r="C48" s="6">
        <v>608039.67000000004</v>
      </c>
      <c r="D48" s="6">
        <v>7502</v>
      </c>
      <c r="E48" s="6">
        <f t="shared" ref="E48" si="81">B48-C48-D48</f>
        <v>46738.919999999925</v>
      </c>
      <c r="F48" s="6">
        <f>ROUND($E48*0.36,2)</f>
        <v>16826.009999999998</v>
      </c>
      <c r="G48" s="6">
        <f>ROUND($E48*0.17,2)-0.01</f>
        <v>7945.61</v>
      </c>
      <c r="H48" s="6">
        <f>ROUND($E48*0.047,2)+0.01</f>
        <v>2196.7400000000002</v>
      </c>
      <c r="I48" s="6">
        <f>ROUND($E48*0.423,2)</f>
        <v>19770.560000000001</v>
      </c>
      <c r="J48" s="11">
        <f t="shared" ref="J48" si="82">E48/K48</f>
        <v>472.1103030303023</v>
      </c>
      <c r="K48" s="9">
        <v>99</v>
      </c>
    </row>
    <row r="49" spans="1:11" ht="15" customHeight="1" x14ac:dyDescent="0.25">
      <c r="A49" s="10">
        <f t="shared" si="35"/>
        <v>45780</v>
      </c>
      <c r="B49" s="6">
        <v>751568.3600000001</v>
      </c>
      <c r="C49" s="6">
        <v>698216.62</v>
      </c>
      <c r="D49" s="6">
        <v>15032</v>
      </c>
      <c r="E49" s="6">
        <f t="shared" ref="E49" si="83">B49-C49-D49</f>
        <v>38319.740000000107</v>
      </c>
      <c r="F49" s="6">
        <f>ROUND($E49*0.36,2)</f>
        <v>13795.11</v>
      </c>
      <c r="G49" s="6">
        <f>ROUND($E49*0.17,2)</f>
        <v>6514.36</v>
      </c>
      <c r="H49" s="6">
        <f>ROUND($E49*0.047,2)-0.01</f>
        <v>1801.02</v>
      </c>
      <c r="I49" s="6">
        <f>ROUND($E49*0.423,2)</f>
        <v>16209.25</v>
      </c>
      <c r="J49" s="11">
        <f t="shared" ref="J49" si="84">E49/K49</f>
        <v>399.16395833333445</v>
      </c>
      <c r="K49" s="9">
        <v>96</v>
      </c>
    </row>
    <row r="50" spans="1:11" ht="15" customHeight="1" x14ac:dyDescent="0.25">
      <c r="A50" s="10">
        <f t="shared" si="35"/>
        <v>45787</v>
      </c>
      <c r="B50" s="6">
        <v>591922.8899999999</v>
      </c>
      <c r="C50" s="6">
        <v>763519.73</v>
      </c>
      <c r="D50" s="6">
        <v>5165</v>
      </c>
      <c r="E50" s="6">
        <f t="shared" ref="E50" si="85">B50-C50-D50</f>
        <v>-176761.84000000008</v>
      </c>
      <c r="F50" s="6">
        <f>ROUND($E50*0.36,2)-0.03</f>
        <v>-63634.29</v>
      </c>
      <c r="G50" s="6">
        <f>ROUND($E50*0.17,2)+0.01</f>
        <v>-30049.5</v>
      </c>
      <c r="H50" s="6">
        <f>ROUND($E50*0.047,2)+0.01</f>
        <v>-8307.7999999999993</v>
      </c>
      <c r="I50" s="6">
        <f>ROUND($E50*0.423,2)+0.01</f>
        <v>-74770.25</v>
      </c>
      <c r="J50" s="11">
        <f t="shared" ref="J50" si="86">E50/K50</f>
        <v>-1986.0880898876414</v>
      </c>
      <c r="K50" s="9">
        <v>89</v>
      </c>
    </row>
    <row r="51" spans="1:11" ht="15" customHeight="1" x14ac:dyDescent="0.25">
      <c r="A51" s="10">
        <f t="shared" si="35"/>
        <v>45794</v>
      </c>
      <c r="B51" s="6">
        <v>678993.28</v>
      </c>
      <c r="C51" s="6">
        <v>642124.30000000005</v>
      </c>
      <c r="D51" s="6">
        <v>8609</v>
      </c>
      <c r="E51" s="6">
        <f t="shared" ref="E51" si="87">B51-C51-D51</f>
        <v>28259.979999999981</v>
      </c>
      <c r="F51" s="6">
        <f>ROUND($E51*0.36,2)-0.01</f>
        <v>10173.58</v>
      </c>
      <c r="G51" s="6">
        <f>ROUND($E51*0.17,2)</f>
        <v>4804.2</v>
      </c>
      <c r="H51" s="6">
        <f>ROUND($E51*0.047,2)</f>
        <v>1328.22</v>
      </c>
      <c r="I51" s="6">
        <f>ROUND($E51*0.423,2)+0.01</f>
        <v>11953.98</v>
      </c>
      <c r="J51" s="11">
        <f t="shared" ref="J51" si="88">E51/K51</f>
        <v>336.42833333333311</v>
      </c>
      <c r="K51" s="9">
        <v>84</v>
      </c>
    </row>
    <row r="52" spans="1:11" ht="15" customHeight="1" x14ac:dyDescent="0.25">
      <c r="A52" s="10">
        <f t="shared" si="35"/>
        <v>45801</v>
      </c>
      <c r="B52" s="6">
        <v>604122.34000000008</v>
      </c>
      <c r="C52" s="6">
        <v>580271.07000000007</v>
      </c>
      <c r="D52" s="6">
        <v>6217</v>
      </c>
      <c r="E52" s="6">
        <f t="shared" ref="E52" si="89">B52-C52-D52</f>
        <v>17634.270000000019</v>
      </c>
      <c r="F52" s="6">
        <f>ROUND($E52*0.36,2)-0.02</f>
        <v>6348.32</v>
      </c>
      <c r="G52" s="6">
        <f>ROUND($E52*0.17,2)</f>
        <v>2997.83</v>
      </c>
      <c r="H52" s="6">
        <f>ROUND($E52*0.047,2)+0.01</f>
        <v>828.81999999999994</v>
      </c>
      <c r="I52" s="6">
        <f>ROUND($E52*0.423,2)</f>
        <v>7459.3</v>
      </c>
      <c r="J52" s="11">
        <f t="shared" ref="J52" si="90">E52/K52</f>
        <v>187.59861702127679</v>
      </c>
      <c r="K52" s="9">
        <v>94</v>
      </c>
    </row>
    <row r="53" spans="1:11" ht="15" customHeight="1" x14ac:dyDescent="0.25">
      <c r="A53" s="10">
        <f t="shared" si="35"/>
        <v>45808</v>
      </c>
      <c r="B53" s="6">
        <v>1294635.5</v>
      </c>
      <c r="C53" s="6">
        <v>1212304.5900000001</v>
      </c>
      <c r="D53" s="6">
        <v>20155</v>
      </c>
      <c r="E53" s="6">
        <f t="shared" ref="E53" si="91">B53-C53-D53</f>
        <v>62175.909999999916</v>
      </c>
      <c r="F53" s="6">
        <f>ROUND($E53*0.36,2)-0.01</f>
        <v>22383.320000000003</v>
      </c>
      <c r="G53" s="6">
        <f>ROUND($E53*0.17,2)+0.01</f>
        <v>10569.91</v>
      </c>
      <c r="H53" s="6">
        <f t="shared" ref="H53:H58" si="92">ROUND($E53*0.047,2)</f>
        <v>2922.27</v>
      </c>
      <c r="I53" s="6">
        <f>ROUND($E53*0.423,2)</f>
        <v>26300.41</v>
      </c>
      <c r="J53" s="11">
        <f t="shared" ref="J53" si="93">E53/K53</f>
        <v>609.56774509803836</v>
      </c>
      <c r="K53" s="9">
        <v>102</v>
      </c>
    </row>
    <row r="54" spans="1:11" ht="15" customHeight="1" x14ac:dyDescent="0.25">
      <c r="A54" s="10">
        <f t="shared" si="35"/>
        <v>45815</v>
      </c>
      <c r="B54" s="6">
        <v>1113483.44</v>
      </c>
      <c r="C54" s="6">
        <v>1068306.8199999998</v>
      </c>
      <c r="D54" s="6">
        <v>25609</v>
      </c>
      <c r="E54" s="6">
        <f t="shared" ref="E54" si="94">B54-C54-D54</f>
        <v>19567.620000000112</v>
      </c>
      <c r="F54" s="6">
        <f>ROUND($E54*0.36,2)-0.01</f>
        <v>7044.33</v>
      </c>
      <c r="G54" s="6">
        <f>ROUND($E54*0.17,2)</f>
        <v>3326.5</v>
      </c>
      <c r="H54" s="6">
        <f t="shared" si="92"/>
        <v>919.68</v>
      </c>
      <c r="I54" s="6">
        <f>ROUND($E54*0.423,2)+0.01</f>
        <v>8277.11</v>
      </c>
      <c r="J54" s="11">
        <f t="shared" ref="J54" si="95">E54/K54</f>
        <v>186.35828571428678</v>
      </c>
      <c r="K54" s="9">
        <v>105</v>
      </c>
    </row>
    <row r="55" spans="1:11" ht="15" customHeight="1" x14ac:dyDescent="0.25">
      <c r="A55" s="10">
        <f t="shared" si="35"/>
        <v>45822</v>
      </c>
      <c r="B55" s="6">
        <v>703739.03999999992</v>
      </c>
      <c r="C55" s="6">
        <v>728576.98</v>
      </c>
      <c r="D55" s="6">
        <v>6203</v>
      </c>
      <c r="E55" s="6">
        <f t="shared" ref="E55" si="96">B55-C55-D55</f>
        <v>-31040.940000000061</v>
      </c>
      <c r="F55" s="6">
        <f>ROUND($E55*0.36,2)-0.03</f>
        <v>-11174.77</v>
      </c>
      <c r="G55" s="6">
        <f>ROUND($E55*0.17,2)+0.01</f>
        <v>-5276.95</v>
      </c>
      <c r="H55" s="6">
        <f t="shared" si="92"/>
        <v>-1458.92</v>
      </c>
      <c r="I55" s="6">
        <f>ROUND($E55*0.423,2)+0.02</f>
        <v>-13130.3</v>
      </c>
      <c r="J55" s="11">
        <f t="shared" ref="J55" si="97">E55/K55</f>
        <v>-356.79241379310412</v>
      </c>
      <c r="K55" s="9">
        <v>87</v>
      </c>
    </row>
    <row r="56" spans="1:11" ht="15" customHeight="1" x14ac:dyDescent="0.25">
      <c r="A56" s="10">
        <f t="shared" si="35"/>
        <v>45829</v>
      </c>
      <c r="B56" s="6">
        <v>723700.19000000006</v>
      </c>
      <c r="C56" s="6">
        <v>692259.14000000013</v>
      </c>
      <c r="D56" s="6">
        <v>20805</v>
      </c>
      <c r="E56" s="6">
        <f t="shared" ref="E56" si="98">B56-C56-D56</f>
        <v>10636.04999999993</v>
      </c>
      <c r="F56" s="6">
        <f>ROUND($E56*0.36,2)+0.01</f>
        <v>3828.9900000000002</v>
      </c>
      <c r="G56" s="6">
        <f>ROUND($E56*0.17,2)</f>
        <v>1808.13</v>
      </c>
      <c r="H56" s="6">
        <f t="shared" si="92"/>
        <v>499.89</v>
      </c>
      <c r="I56" s="6">
        <f>ROUND($E56*0.423,2)-0.01</f>
        <v>4499.04</v>
      </c>
      <c r="J56" s="11">
        <f t="shared" ref="J56" si="99">E56/K56</f>
        <v>101.29571428571361</v>
      </c>
      <c r="K56" s="9">
        <v>105</v>
      </c>
    </row>
    <row r="57" spans="1:11" ht="15" customHeight="1" x14ac:dyDescent="0.25">
      <c r="A57" s="10">
        <f t="shared" si="35"/>
        <v>45836</v>
      </c>
      <c r="B57" s="6">
        <v>483619.26</v>
      </c>
      <c r="C57" s="6">
        <v>464511.57999999996</v>
      </c>
      <c r="D57" s="6">
        <v>9202</v>
      </c>
      <c r="E57" s="6">
        <f t="shared" ref="E57" si="100">B57-C57-D57</f>
        <v>9905.6800000000512</v>
      </c>
      <c r="F57" s="6">
        <f>ROUND($E57*0.36,2)+0.01</f>
        <v>3566.05</v>
      </c>
      <c r="G57" s="6">
        <f>ROUND($E57*0.17,2)-0.01</f>
        <v>1683.96</v>
      </c>
      <c r="H57" s="6">
        <f t="shared" si="92"/>
        <v>465.57</v>
      </c>
      <c r="I57" s="6">
        <f>ROUND($E57*0.423,2)</f>
        <v>4190.1000000000004</v>
      </c>
      <c r="J57" s="11">
        <f t="shared" ref="J57" si="101">E57/K57</f>
        <v>105.37957446808565</v>
      </c>
      <c r="K57" s="9">
        <v>94</v>
      </c>
    </row>
    <row r="58" spans="1:11" ht="15" customHeight="1" x14ac:dyDescent="0.25">
      <c r="A58" s="17" t="s">
        <v>35</v>
      </c>
      <c r="B58" s="6">
        <v>154671.53</v>
      </c>
      <c r="C58" s="6">
        <v>118067.48</v>
      </c>
      <c r="D58" s="6">
        <v>9953</v>
      </c>
      <c r="E58" s="6">
        <f t="shared" ref="E58" si="102">B58-C58-D58</f>
        <v>26651.050000000003</v>
      </c>
      <c r="F58" s="6">
        <f>ROUND($E58*0.36,2)</f>
        <v>9594.3799999999992</v>
      </c>
      <c r="G58" s="6">
        <f>ROUND($E58*0.17,2)</f>
        <v>4530.68</v>
      </c>
      <c r="H58" s="6">
        <f t="shared" si="92"/>
        <v>1252.5999999999999</v>
      </c>
      <c r="I58" s="6">
        <f>ROUND($E58*0.423,2)</f>
        <v>11273.39</v>
      </c>
      <c r="J58" s="11">
        <f t="shared" ref="J58" si="103">E58/K58</f>
        <v>533.02100000000007</v>
      </c>
      <c r="K58" s="9">
        <v>50</v>
      </c>
    </row>
    <row r="59" spans="1:11" ht="15" customHeight="1" x14ac:dyDescent="0.25">
      <c r="A59" s="10"/>
      <c r="B59" s="6"/>
      <c r="C59" s="6"/>
      <c r="D59" s="6"/>
      <c r="E59" s="6"/>
      <c r="F59" s="6"/>
      <c r="G59" s="6"/>
      <c r="H59" s="6"/>
      <c r="I59" s="6"/>
      <c r="J59" s="11"/>
      <c r="K59" s="9"/>
    </row>
    <row r="60" spans="1:11" ht="15" customHeight="1" thickBot="1" x14ac:dyDescent="0.3">
      <c r="B60" s="7">
        <f t="shared" ref="B60:I60" si="104">SUM(B6:B59)</f>
        <v>46433344.560000002</v>
      </c>
      <c r="C60" s="7">
        <f t="shared" si="104"/>
        <v>43022717.43999999</v>
      </c>
      <c r="D60" s="7">
        <f t="shared" si="104"/>
        <v>896259.8</v>
      </c>
      <c r="E60" s="7">
        <f t="shared" si="104"/>
        <v>2514367.3200000003</v>
      </c>
      <c r="F60" s="7">
        <f t="shared" si="104"/>
        <v>905171.97999999963</v>
      </c>
      <c r="G60" s="7">
        <f t="shared" si="104"/>
        <v>427442.44999999978</v>
      </c>
      <c r="H60" s="7">
        <f t="shared" si="104"/>
        <v>118175.39000000004</v>
      </c>
      <c r="I60" s="7">
        <f t="shared" si="104"/>
        <v>1063577.5000000002</v>
      </c>
      <c r="J60" s="12">
        <f>AVERAGE(J6:J59)</f>
        <v>443.85200827028564</v>
      </c>
      <c r="K60" s="13">
        <f>AVERAGE(K6:K59)</f>
        <v>103.32075471698113</v>
      </c>
    </row>
    <row r="61" spans="1:11" ht="15" customHeight="1" thickTop="1" x14ac:dyDescent="0.25"/>
    <row r="62" spans="1:11" ht="15" customHeight="1" x14ac:dyDescent="0.25">
      <c r="A62" s="15" t="s">
        <v>31</v>
      </c>
    </row>
    <row r="63" spans="1:11" ht="15" customHeight="1" x14ac:dyDescent="0.25">
      <c r="A63" s="8" t="s">
        <v>9</v>
      </c>
    </row>
    <row r="64" spans="1:11" ht="15" customHeight="1" x14ac:dyDescent="0.25">
      <c r="A64" s="8" t="s">
        <v>40</v>
      </c>
    </row>
  </sheetData>
  <mergeCells count="1">
    <mergeCell ref="A4:K4"/>
  </mergeCells>
  <printOptions horizontalCentered="1"/>
  <pageMargins left="0.25" right="0.25" top="0.75" bottom="0.5" header="0.25" footer="0"/>
  <pageSetup scale="84" orientation="landscape" r:id="rId1"/>
  <headerFooter>
    <oddHeader>&amp;C&amp;"Arial,Italic"&amp;10GREENBRIER HISTORIC RESORT VIDEO LOTTERY</oddHeader>
    <oddFooter>&amp;L&amp;"Arial,Regular"&amp;8&amp;F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Weekly Summary</vt:lpstr>
      <vt:lpstr>Table Games</vt:lpstr>
      <vt:lpstr>Video</vt:lpstr>
      <vt:lpstr>'Table Games'!Print_Area</vt:lpstr>
      <vt:lpstr>Video!Print_Area</vt:lpstr>
      <vt:lpstr>'Weekly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2024-05-13T19:02:47Z</cp:lastPrinted>
  <dcterms:created xsi:type="dcterms:W3CDTF">2017-06-16T18:01:39Z</dcterms:created>
  <dcterms:modified xsi:type="dcterms:W3CDTF">2025-07-10T18:21:18Z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2024-08-26T17:58:47Z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954862fd-a071-4929-b1e0-6d64c92e1e42</vt:lpwstr>
  </property>
  <property fmtid="{D5CDD505-2E9C-101B-9397-08002B2CF9AE}" pid="8" name="MSIP_Label_defa4170-0d19-0005-0004-bc88714345d2_ContentBits">
    <vt:lpwstr>0</vt:lpwstr>
  </property>
</Properties>
</file>